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checkCompatibility="1" defaultThemeVersion="124226"/>
  <bookViews>
    <workbookView xWindow="0" yWindow="0" windowWidth="24000" windowHeight="9735"/>
  </bookViews>
  <sheets>
    <sheet name="Rent_Calc" sheetId="1" r:id="rId1"/>
    <sheet name="15 Vs. 30" sheetId="2" r:id="rId2"/>
    <sheet name="possible things for house" sheetId="3" r:id="rId3"/>
    <sheet name="Cost" sheetId="4" r:id="rId4"/>
    <sheet name="tenant Background check" sheetId="5" r:id="rId5"/>
  </sheets>
  <definedNames>
    <definedName name="_xlnm.Print_Area" localSheetId="0">Rent_Calc!$B$2:$K$53</definedName>
  </definedNames>
  <calcPr calcId="152511"/>
</workbook>
</file>

<file path=xl/calcChain.xml><?xml version="1.0" encoding="utf-8"?>
<calcChain xmlns="http://schemas.openxmlformats.org/spreadsheetml/2006/main">
  <c r="K5" i="1" l="1"/>
  <c r="C15" i="1" l="1"/>
  <c r="E15" i="1" s="1"/>
  <c r="G15" i="1" s="1"/>
  <c r="C45" i="1"/>
  <c r="G27" i="1"/>
  <c r="E39" i="1"/>
  <c r="C44" i="1"/>
  <c r="G26" i="1"/>
  <c r="G25" i="1"/>
  <c r="C43" i="1" s="1"/>
  <c r="G18" i="1" l="1"/>
  <c r="E5" i="1"/>
  <c r="G5" i="1" s="1"/>
  <c r="E6" i="1"/>
  <c r="G6" i="1" s="1"/>
  <c r="C25" i="1"/>
  <c r="C26" i="1"/>
  <c r="I5" i="1"/>
  <c r="C41" i="1" l="1"/>
  <c r="C24" i="1" s="1"/>
  <c r="G22" i="1"/>
  <c r="G23" i="1"/>
  <c r="G24" i="1"/>
  <c r="C42" i="1" s="1"/>
  <c r="C21" i="1" s="1"/>
  <c r="G29" i="1"/>
  <c r="G21" i="1"/>
  <c r="C40" i="1"/>
  <c r="C23" i="1" s="1"/>
  <c r="C39" i="1"/>
  <c r="C22" i="1" s="1"/>
  <c r="E18" i="1"/>
  <c r="C7" i="1"/>
  <c r="C22" i="4"/>
  <c r="C18" i="4"/>
  <c r="C17" i="4"/>
  <c r="C7" i="4"/>
  <c r="C9" i="4" s="1"/>
  <c r="B4" i="2"/>
  <c r="I7" i="1"/>
  <c r="K7" i="1"/>
  <c r="C61" i="2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B60" i="2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3" i="2"/>
  <c r="C2" i="2"/>
  <c r="I8" i="1" l="1"/>
  <c r="I9" i="1" s="1"/>
  <c r="K17" i="1"/>
  <c r="K8" i="1"/>
  <c r="K9" i="1" s="1"/>
  <c r="C29" i="1"/>
  <c r="I17" i="1"/>
  <c r="C46" i="1"/>
  <c r="G8" i="1"/>
  <c r="G9" i="1" s="1"/>
  <c r="I6" i="1"/>
  <c r="K6" i="1" s="1"/>
  <c r="B5" i="2"/>
  <c r="I16" i="1"/>
  <c r="C3" i="2"/>
  <c r="B15" i="2" s="1"/>
  <c r="E37" i="1"/>
  <c r="E50" i="1" s="1"/>
  <c r="E8" i="1" l="1"/>
  <c r="E9" i="1" s="1"/>
  <c r="C37" i="1"/>
  <c r="C48" i="1" s="1"/>
  <c r="C50" i="1" s="1"/>
  <c r="G37" i="1" s="1"/>
  <c r="I10" i="2"/>
  <c r="J10" i="2" s="1"/>
  <c r="I14" i="2"/>
  <c r="I11" i="2"/>
  <c r="I15" i="2"/>
  <c r="I19" i="2"/>
  <c r="I23" i="2"/>
  <c r="I18" i="2"/>
  <c r="I22" i="2"/>
  <c r="I13" i="2"/>
  <c r="I17" i="2"/>
  <c r="I21" i="2"/>
  <c r="I12" i="2"/>
  <c r="I16" i="2"/>
  <c r="I20" i="2"/>
  <c r="I24" i="2"/>
  <c r="K11" i="2"/>
  <c r="D30" i="2"/>
  <c r="K15" i="2"/>
  <c r="K13" i="2"/>
  <c r="B33" i="2"/>
  <c r="D24" i="2"/>
  <c r="D18" i="2"/>
  <c r="D35" i="2"/>
  <c r="D11" i="2"/>
  <c r="D34" i="2"/>
  <c r="K16" i="1"/>
  <c r="E30" i="1"/>
  <c r="K24" i="2"/>
  <c r="K16" i="2"/>
  <c r="B27" i="2"/>
  <c r="B34" i="2"/>
  <c r="B17" i="2"/>
  <c r="D29" i="2"/>
  <c r="B29" i="2"/>
  <c r="B32" i="2"/>
  <c r="B11" i="2"/>
  <c r="K10" i="2"/>
  <c r="L10" i="2" s="1"/>
  <c r="B20" i="2"/>
  <c r="K22" i="2"/>
  <c r="D10" i="2"/>
  <c r="E10" i="2" s="1"/>
  <c r="B35" i="2"/>
  <c r="D36" i="2"/>
  <c r="C7" i="2"/>
  <c r="D7" i="2" s="1"/>
  <c r="D21" i="2"/>
  <c r="K19" i="2"/>
  <c r="D14" i="2"/>
  <c r="B18" i="2"/>
  <c r="B14" i="2"/>
  <c r="J7" i="2"/>
  <c r="K7" i="2" s="1"/>
  <c r="D31" i="2"/>
  <c r="D20" i="2"/>
  <c r="D32" i="2"/>
  <c r="B31" i="2"/>
  <c r="B13" i="2"/>
  <c r="B21" i="2"/>
  <c r="D28" i="2"/>
  <c r="B30" i="2"/>
  <c r="K14" i="2"/>
  <c r="B22" i="2"/>
  <c r="K21" i="2"/>
  <c r="B23" i="2"/>
  <c r="D16" i="2"/>
  <c r="D37" i="2"/>
  <c r="D25" i="2"/>
  <c r="D23" i="2"/>
  <c r="D15" i="2"/>
  <c r="F15" i="2" s="1"/>
  <c r="G15" i="2" s="1"/>
  <c r="D22" i="2"/>
  <c r="B36" i="2"/>
  <c r="D26" i="2"/>
  <c r="B19" i="2"/>
  <c r="K23" i="2"/>
  <c r="D33" i="2"/>
  <c r="B25" i="2"/>
  <c r="B16" i="2"/>
  <c r="K17" i="2"/>
  <c r="B24" i="2"/>
  <c r="B28" i="2"/>
  <c r="K20" i="2"/>
  <c r="K12" i="2"/>
  <c r="B26" i="2"/>
  <c r="D17" i="2"/>
  <c r="D39" i="2"/>
  <c r="B39" i="2"/>
  <c r="B37" i="2"/>
  <c r="B12" i="2"/>
  <c r="D27" i="2"/>
  <c r="D19" i="2"/>
  <c r="D12" i="2"/>
  <c r="B38" i="2"/>
  <c r="D13" i="2"/>
  <c r="D38" i="2"/>
  <c r="K18" i="2"/>
  <c r="B10" i="2"/>
  <c r="C10" i="2" s="1"/>
  <c r="E19" i="1" l="1"/>
  <c r="G19" i="1"/>
  <c r="F11" i="2"/>
  <c r="G11" i="2" s="1"/>
  <c r="F16" i="2"/>
  <c r="G16" i="2" s="1"/>
  <c r="G30" i="1"/>
  <c r="M15" i="2"/>
  <c r="N15" i="2" s="1"/>
  <c r="F32" i="2"/>
  <c r="G32" i="2" s="1"/>
  <c r="M13" i="2"/>
  <c r="N13" i="2" s="1"/>
  <c r="M18" i="2"/>
  <c r="N18" i="2" s="1"/>
  <c r="M14" i="2"/>
  <c r="N14" i="2" s="1"/>
  <c r="M10" i="2"/>
  <c r="N10" i="2" s="1"/>
  <c r="F13" i="2"/>
  <c r="G13" i="2" s="1"/>
  <c r="F18" i="2"/>
  <c r="G18" i="2" s="1"/>
  <c r="M22" i="2"/>
  <c r="N22" i="2" s="1"/>
  <c r="F33" i="2"/>
  <c r="G33" i="2" s="1"/>
  <c r="F30" i="2"/>
  <c r="G30" i="2" s="1"/>
  <c r="L11" i="2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E11" i="2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M16" i="2"/>
  <c r="N16" i="2" s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J11" i="2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M20" i="2"/>
  <c r="N20" i="2" s="1"/>
  <c r="F24" i="2"/>
  <c r="G24" i="2" s="1"/>
  <c r="F34" i="2"/>
  <c r="G34" i="2" s="1"/>
  <c r="F10" i="2"/>
  <c r="G10" i="2" s="1"/>
  <c r="F36" i="2"/>
  <c r="G36" i="2" s="1"/>
  <c r="M21" i="2"/>
  <c r="N21" i="2" s="1"/>
  <c r="M19" i="2"/>
  <c r="N19" i="2" s="1"/>
  <c r="F35" i="2"/>
  <c r="G35" i="2" s="1"/>
  <c r="F27" i="2"/>
  <c r="G27" i="2" s="1"/>
  <c r="F20" i="2"/>
  <c r="G20" i="2" s="1"/>
  <c r="F31" i="2"/>
  <c r="G31" i="2" s="1"/>
  <c r="M11" i="2"/>
  <c r="N11" i="2" s="1"/>
  <c r="F19" i="2"/>
  <c r="G19" i="2" s="1"/>
  <c r="F17" i="2"/>
  <c r="G17" i="2" s="1"/>
  <c r="M24" i="2"/>
  <c r="N24" i="2" s="1"/>
  <c r="F14" i="2"/>
  <c r="G14" i="2" s="1"/>
  <c r="F21" i="2"/>
  <c r="G21" i="2" s="1"/>
  <c r="F29" i="2"/>
  <c r="G29" i="2" s="1"/>
  <c r="I18" i="1"/>
  <c r="I19" i="1" s="1"/>
  <c r="I21" i="1" s="1"/>
  <c r="I30" i="1" s="1"/>
  <c r="E17" i="1" s="1"/>
  <c r="F12" i="2"/>
  <c r="G12" i="2" s="1"/>
  <c r="F39" i="2"/>
  <c r="G39" i="2" s="1"/>
  <c r="M12" i="2"/>
  <c r="N12" i="2" s="1"/>
  <c r="F28" i="2"/>
  <c r="G28" i="2" s="1"/>
  <c r="M23" i="2"/>
  <c r="N23" i="2" s="1"/>
  <c r="F37" i="2"/>
  <c r="G37" i="2" s="1"/>
  <c r="F26" i="2"/>
  <c r="G26" i="2" s="1"/>
  <c r="M17" i="2"/>
  <c r="N17" i="2" s="1"/>
  <c r="F25" i="2"/>
  <c r="G25" i="2" s="1"/>
  <c r="F22" i="2"/>
  <c r="G22" i="2" s="1"/>
  <c r="F23" i="2"/>
  <c r="G23" i="2" s="1"/>
  <c r="F38" i="2"/>
  <c r="G38" i="2" s="1"/>
  <c r="K18" i="1" l="1"/>
  <c r="K19" i="1" s="1"/>
  <c r="K21" i="1" s="1"/>
  <c r="K30" i="1" s="1"/>
  <c r="G17" i="1" s="1"/>
  <c r="I22" i="1"/>
  <c r="E16" i="1" s="1"/>
  <c r="K22" i="1" l="1"/>
  <c r="G16" i="1" s="1"/>
</calcChain>
</file>

<file path=xl/sharedStrings.xml><?xml version="1.0" encoding="utf-8"?>
<sst xmlns="http://schemas.openxmlformats.org/spreadsheetml/2006/main" count="247" uniqueCount="187">
  <si>
    <t>Monthly Rent</t>
  </si>
  <si>
    <t>Annual Maintenance</t>
  </si>
  <si>
    <t>Purchase Price($)</t>
  </si>
  <si>
    <t>Downpayment(%)</t>
  </si>
  <si>
    <t>Units(#)</t>
  </si>
  <si>
    <t>Monthly Rent($)</t>
  </si>
  <si>
    <t>Property Tax(%)</t>
  </si>
  <si>
    <t>Maintenance(%)</t>
  </si>
  <si>
    <t>30 Year Loan Rate(%)</t>
  </si>
  <si>
    <t>15 Year Loan Rate(%)</t>
  </si>
  <si>
    <t>Annual Rent</t>
  </si>
  <si>
    <t>Annual Property Taxes</t>
  </si>
  <si>
    <t>Annual Loan Pmnts</t>
  </si>
  <si>
    <t>Monthly Loan Pmnt</t>
  </si>
  <si>
    <t>Total:</t>
  </si>
  <si>
    <t>Annual Expenses</t>
  </si>
  <si>
    <t>Annual Insurance</t>
  </si>
  <si>
    <t>Property Management</t>
  </si>
  <si>
    <t>Property Management(%)</t>
  </si>
  <si>
    <t>Rental Investment Calculator</t>
  </si>
  <si>
    <t>30-Year Mortgage Results</t>
  </si>
  <si>
    <t>15-Year Mortgage Results</t>
  </si>
  <si>
    <t>Insurance(%)</t>
  </si>
  <si>
    <t>Improvements($)</t>
  </si>
  <si>
    <t>Closing Costs($)</t>
  </si>
  <si>
    <t>Effective Rental Income</t>
  </si>
  <si>
    <t>Money Down</t>
  </si>
  <si>
    <t>Monthly Gross Rent</t>
  </si>
  <si>
    <t>Inspections/Misc($)</t>
  </si>
  <si>
    <t>30 Year Mortgage</t>
  </si>
  <si>
    <t>Monthly Pmnt</t>
  </si>
  <si>
    <t>Interest</t>
  </si>
  <si>
    <t>-</t>
  </si>
  <si>
    <t>Principal</t>
  </si>
  <si>
    <t>Total Equity</t>
  </si>
  <si>
    <t>Total Interest</t>
  </si>
  <si>
    <t>Total pmnt</t>
  </si>
  <si>
    <t>Percentage Principal</t>
  </si>
  <si>
    <t>15 year mortgage @ 30 year rate</t>
  </si>
  <si>
    <t>Annual Pmnt</t>
  </si>
  <si>
    <t>Primary Inputs</t>
  </si>
  <si>
    <t>Value Per 2% Rule</t>
  </si>
  <si>
    <t>Value Difference (2% Rule)</t>
  </si>
  <si>
    <t>Secondary Inputs</t>
  </si>
  <si>
    <t>Total Expenses + Loans</t>
  </si>
  <si>
    <t>Annual Return (Cash-Flow + Equity, Pre-Tax)</t>
  </si>
  <si>
    <t>Annual Cash-Flow (Pre-Tax)</t>
  </si>
  <si>
    <t>Annual Post-Tax Cash-Flow (Pre-Tax)</t>
  </si>
  <si>
    <t>ROI (Post-Tax)</t>
  </si>
  <si>
    <t>ROI (Pre-Tax)</t>
  </si>
  <si>
    <t>Value (30-Year Mortgage Scenario)</t>
  </si>
  <si>
    <t>Year</t>
  </si>
  <si>
    <t>Annual NOI</t>
  </si>
  <si>
    <t>CAP Rate (50% Rule)</t>
  </si>
  <si>
    <t>CAP Rate (Assumed Expenses)</t>
  </si>
  <si>
    <t>cabinets - Kitchen Kompact, home depot (HD)</t>
  </si>
  <si>
    <t>bath tiles - http://www.homedepot.com/p/MS-International-Metro-...</t>
  </si>
  <si>
    <t>faucet - http://www.homedepot.com/p/Delta-Foundations-Singl...</t>
  </si>
  <si>
    <t>vanity - painted - http://www.homedepot.com/p/Glacier-Bay-24-5-in-Van...</t>
  </si>
  <si>
    <t>vanity faucet - http://www.homedepot.com/p/Peerless-Core-4-in-Cent...</t>
  </si>
  <si>
    <t>of this vanity - http://www.homedepot.com/p/Glacier-Bay-Shaila-24-1...</t>
  </si>
  <si>
    <t>toilet - toto drake or american standard cadet</t>
  </si>
  <si>
    <t>accent tile - http://www.homedepot.com/p/MS-International-Arctic...</t>
  </si>
  <si>
    <t>kitchen tiles - http://www.homedepot.com/p/TrafficMASTER-Portland-...</t>
  </si>
  <si>
    <t>most pendants - http://www.homedepot.com/p/Hampton-Bay-1-Light-86-...</t>
  </si>
  <si>
    <t>sinks - http://www.homedepot.com/p/Elkay-Neptune-Drop-in-S...</t>
  </si>
  <si>
    <t>lights - http://www.homedepot.com/p/Commercial-Electric-2-L...</t>
  </si>
  <si>
    <t>bath timers - http://www.homedepot.com/p/Leviton-500-Watt-60-Min...</t>
  </si>
  <si>
    <t>bath mirror - http://www.homedepot.com/p/Zenith-16-in-W-x-20-in-...</t>
  </si>
  <si>
    <t>thermostat - http://www.homedepot.com/p/Honeywell-7-Day-Program...</t>
  </si>
  <si>
    <t>tub - http://www.homedepot.com/p/Bootz-Industries-Aloha-...</t>
  </si>
  <si>
    <t>disposal - http://www.amazon.com/dp/B00004U9JO/ref=wl_it_dp_o...</t>
  </si>
  <si>
    <t>knobs - http://www.amazon.com/dp/B006HZ2NNE/ref=wl_it_dp_o...</t>
  </si>
  <si>
    <t>sink grid drain - http://www.amazon.com/dp/B00GMR51XG/ref=wl_it_dp_o...</t>
  </si>
  <si>
    <t>shower diverter - http://www.amazon.com/dp/B001AI1VMW/ref=wl_it_dp_o...</t>
  </si>
  <si>
    <t>shower trim - http://www.amazon.com/dp/B001AHZRQO/ref=wl_it_dp_o...</t>
  </si>
  <si>
    <t>bath fan - http://www.amazon.com/dp/B00EAD6PNE/ref=wl_it_dp_o...</t>
  </si>
  <si>
    <t>now you can make your houses look like mine.</t>
  </si>
  <si>
    <t>ovens and appliances - whatever was JUST over the cheapest, dishwasher around $300.</t>
  </si>
  <si>
    <t>as for pics... they were linked to the original trulia listing, i will have to get that when i get back from vacation.</t>
  </si>
  <si>
    <t>Purchase Price</t>
  </si>
  <si>
    <t>Attorney Fee</t>
  </si>
  <si>
    <t>Inspection</t>
  </si>
  <si>
    <t>Tank Sweep</t>
  </si>
  <si>
    <t>Total</t>
  </si>
  <si>
    <t>Purchase Date</t>
  </si>
  <si>
    <t>Repair Cost</t>
  </si>
  <si>
    <t>Item</t>
  </si>
  <si>
    <t>Amt</t>
  </si>
  <si>
    <t>Check/Cash</t>
  </si>
  <si>
    <t>Date</t>
  </si>
  <si>
    <t>Lawn Mower</t>
  </si>
  <si>
    <t>Cash</t>
  </si>
  <si>
    <t>38 1/2 bath tub faucet Repair</t>
  </si>
  <si>
    <t>Check</t>
  </si>
  <si>
    <t>Check #</t>
  </si>
  <si>
    <t>Roof Repair</t>
  </si>
  <si>
    <t>Deck Painting</t>
  </si>
  <si>
    <t>Credit Card</t>
  </si>
  <si>
    <t>Roof Material</t>
  </si>
  <si>
    <t>Step Reapir 381/2</t>
  </si>
  <si>
    <t>check</t>
  </si>
  <si>
    <t>Payee</t>
  </si>
  <si>
    <t>Pomponi Heating</t>
  </si>
  <si>
    <t>HD</t>
  </si>
  <si>
    <t>Chris</t>
  </si>
  <si>
    <t>Scott Ure</t>
  </si>
  <si>
    <t>38 4 window Replace</t>
  </si>
  <si>
    <t>Gas Range 38</t>
  </si>
  <si>
    <t>Sears</t>
  </si>
  <si>
    <t>http://renovopower.com/lowes.html</t>
  </si>
  <si>
    <t>discounts at lowes</t>
  </si>
  <si>
    <t>Nelby General Construction</t>
  </si>
  <si>
    <t>Tom to the list, 201-575-5137</t>
  </si>
  <si>
    <t>General Contractors</t>
  </si>
  <si>
    <t>Seller Concession</t>
  </si>
  <si>
    <t>Subtotal</t>
  </si>
  <si>
    <t>myrental.com</t>
  </si>
  <si>
    <t>entalutions.com</t>
  </si>
  <si>
    <t>Trans union and experian offer low cost screening but with any report you must have the tenants permission </t>
  </si>
  <si>
    <t># 40 Boiler</t>
  </si>
  <si>
    <t>For tub surrounds</t>
  </si>
  <si>
    <t>cement board (Durock)  on stubs and then  Pro Shield tile waterproof membrane</t>
  </si>
  <si>
    <t>Porcelain tile is the best</t>
  </si>
  <si>
    <t xml:space="preserve">The only pre-fab surrounds I will use are fiberglass one or three piecers. They mount </t>
  </si>
  <si>
    <t>directly to studs and drywalled in. Heavy duty and last forever. The glue-ons are garbage.</t>
  </si>
  <si>
    <t>epoxy grout</t>
  </si>
  <si>
    <t>then put on tile. DensShield</t>
  </si>
  <si>
    <t>Hillside Railing hillsiderailinginc.com (908) 688-7444 Danny came out and gave us an estimate of $1,000.</t>
  </si>
  <si>
    <t>We had Finishing Touches (973) 762-5263 remove the old brackets, slowly and carefully jack the portico up so that it was level again, and construct/install 2 columns. They did a great job and we were pleased with the work. Cost was $1,000.</t>
  </si>
  <si>
    <t>Abbot O'Reilly (973) 746-4825</t>
  </si>
  <si>
    <t>masonry</t>
  </si>
  <si>
    <t> Avellino</t>
  </si>
  <si>
    <t>Luigi</t>
  </si>
  <si>
    <t> P &amp; L Cabinets in Roselle at 306 West First Ave</t>
  </si>
  <si>
    <t>Keystone cabinetry in Va</t>
  </si>
  <si>
    <t>Newark Cabinets on Chapel St in Newark</t>
  </si>
  <si>
    <t>Toros Tile LLC </t>
  </si>
  <si>
    <t>262 Broad ave </t>
  </si>
  <si>
    <t>Fairview,NJ,07022</t>
  </si>
  <si>
    <t>Granite</t>
  </si>
  <si>
    <t>Rogerio at Artistic Stone</t>
  </si>
  <si>
    <t>Floor Tile – 6”x24? Montagna Saddle (193-629)</t>
  </si>
  <si>
    <t>Floor Grout – Bone (123-852)</t>
  </si>
  <si>
    <t>Shower Tile – 13”x20” Broadmoor Platinum (1000-012-487)</t>
  </si>
  <si>
    <t>Shower Accent – Arctic Storm (369-501)</t>
  </si>
  <si>
    <t>Shower Grout – Bone (123-851)</t>
  </si>
  <si>
    <t>Vanity – Glacier Bay Renditions (637-327)</t>
  </si>
  <si>
    <t>Vanity – St. Paul Madeline 24” (628-505)</t>
  </si>
  <si>
    <t>Shower Faucets – Banbury 1-Handle Tub/Shower (243-261)</t>
  </si>
  <si>
    <t>Bathtubs – 5? Aloha White (478-640)</t>
  </si>
  <si>
    <t>Toilets – Dual Flush by Glacier Bay (215-583)</t>
  </si>
  <si>
    <t>Faucets – Glacier Bay Buildiers 4? 2-Handle (247-368)</t>
  </si>
  <si>
    <t>Mirrors – 22?x28? Brushed Nickel Frame (481-166)</t>
  </si>
  <si>
    <t>Lighting – Hampton Bay 3-light Brushed Nickel (610-563)</t>
  </si>
  <si>
    <t>Towel Bar Set – Greenwich 3-piece Bath Accessory Kit in Satin Nickel (690-977)</t>
  </si>
  <si>
    <t>Cash On Cash Return</t>
  </si>
  <si>
    <t>Inspections</t>
  </si>
  <si>
    <t>Miscellaneous</t>
  </si>
  <si>
    <t>Renovations/Repairs</t>
  </si>
  <si>
    <t>Total Cash Outflow</t>
  </si>
  <si>
    <t>Property Taxes</t>
  </si>
  <si>
    <t>Insurance</t>
  </si>
  <si>
    <t>Maintenance</t>
  </si>
  <si>
    <t>Mortgage Payment</t>
  </si>
  <si>
    <t>Net Monthly Cash Flow</t>
  </si>
  <si>
    <t>Annual Cash Flow</t>
  </si>
  <si>
    <t>Cash on Cash Return</t>
  </si>
  <si>
    <t>New Purchase Price($)</t>
  </si>
  <si>
    <t>Value (15-Year Mortgage Scenario)</t>
  </si>
  <si>
    <t>Utilities/Other</t>
  </si>
  <si>
    <t>Cap EX</t>
  </si>
  <si>
    <t>CapEX</t>
  </si>
  <si>
    <t>PMI</t>
  </si>
  <si>
    <t>Unit 1</t>
  </si>
  <si>
    <t>Unit 2</t>
  </si>
  <si>
    <t>Unit 3</t>
  </si>
  <si>
    <t>Unit 4</t>
  </si>
  <si>
    <t>Water</t>
  </si>
  <si>
    <t>Water(%)</t>
  </si>
  <si>
    <t>Total(%)</t>
  </si>
  <si>
    <t>Based on 30 yr Mortgage</t>
  </si>
  <si>
    <t>Cash needed to Close ($)</t>
  </si>
  <si>
    <t>Vacancy Rate</t>
  </si>
  <si>
    <t>PITI</t>
  </si>
  <si>
    <t>Gross Cash Flow</t>
  </si>
  <si>
    <t>Msc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</si>
</sst>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  <numFmt numFmtId="167" formatCode="0.0000"/>
    <numFmt numFmtId="168" formatCode="_(&quot;$&quot;* #,##0_);_(&quot;$&quot;* \(#,##0\);_(&quot;$&quot;* &quot;-&quot;??_);_(@_)"/>
    <numFmt numFmtId="169" formatCode="0.000%"/>
    <numFmt numFmtId="170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Inherit"/>
    </font>
    <font>
      <u/>
      <sz val="11"/>
      <color theme="10"/>
      <name val="Calibri"/>
      <family val="2"/>
    </font>
    <font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rgb="FF000000"/>
      <name val="Verdana"/>
      <family val="2"/>
    </font>
    <font>
      <sz val="8"/>
      <color rgb="FF333333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3" fontId="1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0" fontId="1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Font="1"/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/>
    <xf numFmtId="164" fontId="4" fillId="0" borderId="0" xfId="0" applyNumberFormat="1" applyFont="1" applyBorder="1" applyAlignment="1">
      <alignment horizontal="center"/>
    </xf>
    <xf numFmtId="0" fontId="0" fillId="0" borderId="0" xfId="0" applyBorder="1"/>
    <xf numFmtId="44" fontId="2" fillId="0" borderId="0" xfId="2" applyFont="1" applyBorder="1"/>
    <xf numFmtId="0" fontId="3" fillId="0" borderId="0" xfId="0" applyFont="1" applyBorder="1" applyAlignment="1">
      <alignment horizontal="center"/>
    </xf>
    <xf numFmtId="44" fontId="3" fillId="0" borderId="0" xfId="2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44" fontId="2" fillId="0" borderId="0" xfId="2" applyFont="1" applyFill="1" applyBorder="1"/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4" fontId="5" fillId="0" borderId="2" xfId="2" applyFont="1" applyBorder="1" applyAlignment="1">
      <alignment horizontal="center"/>
    </xf>
    <xf numFmtId="44" fontId="5" fillId="0" borderId="0" xfId="2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4" fontId="5" fillId="0" borderId="2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2" fillId="0" borderId="0" xfId="8" applyNumberFormat="1" applyFont="1" applyBorder="1" applyAlignment="1">
      <alignment horizontal="center"/>
    </xf>
    <xf numFmtId="44" fontId="6" fillId="0" borderId="0" xfId="0" applyNumberFormat="1" applyFont="1" applyBorder="1" applyAlignment="1">
      <alignment horizontal="center"/>
    </xf>
    <xf numFmtId="44" fontId="6" fillId="0" borderId="0" xfId="2" applyFont="1" applyBorder="1" applyAlignment="1">
      <alignment horizontal="center"/>
    </xf>
    <xf numFmtId="2" fontId="0" fillId="0" borderId="0" xfId="0" applyNumberFormat="1" applyBorder="1"/>
    <xf numFmtId="44" fontId="2" fillId="0" borderId="0" xfId="2" applyFont="1"/>
    <xf numFmtId="9" fontId="2" fillId="0" borderId="0" xfId="8" applyFont="1"/>
    <xf numFmtId="164" fontId="0" fillId="0" borderId="1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/>
    </xf>
    <xf numFmtId="37" fontId="2" fillId="0" borderId="2" xfId="2" applyNumberFormat="1" applyFont="1" applyBorder="1" applyAlignment="1">
      <alignment horizontal="center"/>
    </xf>
    <xf numFmtId="10" fontId="2" fillId="0" borderId="2" xfId="8" applyNumberFormat="1" applyFont="1" applyBorder="1" applyAlignment="1">
      <alignment horizontal="center"/>
    </xf>
    <xf numFmtId="168" fontId="2" fillId="0" borderId="2" xfId="2" applyNumberFormat="1" applyFont="1" applyBorder="1"/>
    <xf numFmtId="44" fontId="5" fillId="0" borderId="2" xfId="2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44" fontId="2" fillId="0" borderId="2" xfId="2" applyNumberFormat="1" applyFont="1" applyBorder="1" applyAlignment="1">
      <alignment horizontal="center"/>
    </xf>
    <xf numFmtId="44" fontId="6" fillId="0" borderId="2" xfId="2" applyNumberFormat="1" applyFont="1" applyBorder="1" applyAlignment="1">
      <alignment horizontal="center"/>
    </xf>
    <xf numFmtId="165" fontId="2" fillId="0" borderId="2" xfId="8" applyNumberFormat="1" applyFont="1" applyBorder="1" applyAlignment="1">
      <alignment horizontal="center"/>
    </xf>
    <xf numFmtId="9" fontId="2" fillId="0" borderId="0" xfId="8" applyFont="1"/>
    <xf numFmtId="10" fontId="2" fillId="0" borderId="0" xfId="8" applyNumberFormat="1" applyFont="1"/>
    <xf numFmtId="44" fontId="0" fillId="0" borderId="0" xfId="0" applyNumberFormat="1"/>
    <xf numFmtId="44" fontId="2" fillId="0" borderId="0" xfId="2" applyFont="1"/>
    <xf numFmtId="0" fontId="3" fillId="0" borderId="0" xfId="0" applyFont="1"/>
    <xf numFmtId="8" fontId="3" fillId="0" borderId="0" xfId="0" applyNumberFormat="1" applyFont="1"/>
    <xf numFmtId="0" fontId="0" fillId="0" borderId="4" xfId="0" applyFont="1" applyFill="1" applyBorder="1" applyAlignment="1">
      <alignment horizontal="center"/>
    </xf>
    <xf numFmtId="165" fontId="2" fillId="0" borderId="2" xfId="8" applyNumberFormat="1" applyFont="1" applyFill="1" applyBorder="1" applyAlignment="1">
      <alignment horizontal="center"/>
    </xf>
    <xf numFmtId="44" fontId="2" fillId="0" borderId="2" xfId="2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165" fontId="5" fillId="0" borderId="0" xfId="8" applyNumberFormat="1" applyFont="1" applyBorder="1" applyAlignment="1">
      <alignment horizontal="center"/>
    </xf>
    <xf numFmtId="10" fontId="5" fillId="0" borderId="0" xfId="8" applyNumberFormat="1" applyFont="1" applyBorder="1" applyAlignment="1">
      <alignment horizontal="center"/>
    </xf>
    <xf numFmtId="168" fontId="2" fillId="0" borderId="0" xfId="2" applyNumberFormat="1" applyFont="1" applyBorder="1" applyAlignment="1">
      <alignment horizontal="center"/>
    </xf>
    <xf numFmtId="168" fontId="2" fillId="0" borderId="3" xfId="2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4" fontId="6" fillId="0" borderId="2" xfId="0" applyNumberFormat="1" applyFont="1" applyBorder="1" applyAlignment="1">
      <alignment horizontal="center"/>
    </xf>
    <xf numFmtId="44" fontId="6" fillId="0" borderId="2" xfId="8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44" fontId="6" fillId="0" borderId="9" xfId="8" applyNumberFormat="1" applyFont="1" applyBorder="1" applyAlignment="1">
      <alignment horizontal="center"/>
    </xf>
    <xf numFmtId="169" fontId="2" fillId="0" borderId="6" xfId="8" applyNumberFormat="1" applyFont="1" applyBorder="1" applyAlignment="1">
      <alignment horizontal="center"/>
    </xf>
    <xf numFmtId="9" fontId="6" fillId="0" borderId="7" xfId="8" applyFont="1" applyBorder="1" applyAlignment="1">
      <alignment horizontal="center"/>
    </xf>
    <xf numFmtId="165" fontId="2" fillId="0" borderId="5" xfId="8" applyNumberFormat="1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44" fontId="2" fillId="0" borderId="0" xfId="2" applyFont="1" applyBorder="1" applyAlignment="1">
      <alignment horizontal="center"/>
    </xf>
    <xf numFmtId="10" fontId="0" fillId="0" borderId="0" xfId="8" applyNumberFormat="1" applyFont="1"/>
    <xf numFmtId="10" fontId="2" fillId="0" borderId="0" xfId="2" applyNumberFormat="1" applyFont="1"/>
    <xf numFmtId="44" fontId="0" fillId="0" borderId="0" xfId="2" applyFont="1"/>
    <xf numFmtId="0" fontId="7" fillId="0" borderId="0" xfId="0" applyFont="1"/>
    <xf numFmtId="0" fontId="8" fillId="0" borderId="0" xfId="9" applyAlignment="1" applyProtection="1"/>
    <xf numFmtId="14" fontId="0" fillId="0" borderId="0" xfId="0" applyNumberFormat="1"/>
    <xf numFmtId="0" fontId="9" fillId="0" borderId="0" xfId="0" applyFont="1"/>
    <xf numFmtId="0" fontId="0" fillId="0" borderId="0" xfId="0" applyNumberFormat="1"/>
    <xf numFmtId="170" fontId="0" fillId="0" borderId="0" xfId="10" applyNumberFormat="1" applyFont="1"/>
    <xf numFmtId="0" fontId="10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0" fillId="0" borderId="14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1" fillId="0" borderId="0" xfId="0" applyFont="1"/>
    <xf numFmtId="0" fontId="12" fillId="0" borderId="0" xfId="0" applyFo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43" fontId="0" fillId="0" borderId="2" xfId="10" applyFont="1" applyBorder="1"/>
    <xf numFmtId="0" fontId="0" fillId="0" borderId="4" xfId="0" applyBorder="1"/>
    <xf numFmtId="0" fontId="0" fillId="0" borderId="5" xfId="0" applyBorder="1"/>
    <xf numFmtId="0" fontId="13" fillId="0" borderId="1" xfId="0" applyFont="1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19" xfId="0" applyBorder="1"/>
    <xf numFmtId="168" fontId="0" fillId="0" borderId="5" xfId="0" applyNumberFormat="1" applyBorder="1"/>
    <xf numFmtId="168" fontId="0" fillId="0" borderId="2" xfId="0" applyNumberFormat="1" applyBorder="1"/>
    <xf numFmtId="3" fontId="0" fillId="0" borderId="2" xfId="0" applyNumberFormat="1" applyBorder="1"/>
    <xf numFmtId="168" fontId="0" fillId="0" borderId="2" xfId="2" applyNumberFormat="1" applyFont="1" applyBorder="1"/>
    <xf numFmtId="3" fontId="13" fillId="0" borderId="2" xfId="0" applyNumberFormat="1" applyFont="1" applyBorder="1"/>
    <xf numFmtId="3" fontId="0" fillId="0" borderId="7" xfId="0" applyNumberFormat="1" applyBorder="1"/>
    <xf numFmtId="168" fontId="0" fillId="0" borderId="5" xfId="2" applyNumberFormat="1" applyFont="1" applyBorder="1"/>
    <xf numFmtId="44" fontId="2" fillId="0" borderId="1" xfId="2" applyFont="1" applyBorder="1"/>
    <xf numFmtId="44" fontId="13" fillId="0" borderId="1" xfId="2" applyFont="1" applyBorder="1"/>
    <xf numFmtId="168" fontId="13" fillId="0" borderId="2" xfId="2" applyNumberFormat="1" applyFont="1" applyBorder="1"/>
    <xf numFmtId="9" fontId="2" fillId="0" borderId="2" xfId="8" applyFont="1" applyBorder="1"/>
    <xf numFmtId="44" fontId="2" fillId="0" borderId="6" xfId="2" applyFont="1" applyBorder="1"/>
    <xf numFmtId="9" fontId="2" fillId="0" borderId="7" xfId="8" applyFont="1" applyBorder="1"/>
    <xf numFmtId="10" fontId="0" fillId="0" borderId="5" xfId="8" applyNumberFormat="1" applyFont="1" applyBorder="1"/>
    <xf numFmtId="44" fontId="2" fillId="0" borderId="1" xfId="2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44" fontId="0" fillId="0" borderId="2" xfId="0" applyNumberFormat="1" applyFont="1" applyBorder="1" applyAlignment="1">
      <alignment horizontal="center"/>
    </xf>
    <xf numFmtId="165" fontId="5" fillId="0" borderId="2" xfId="8" applyNumberFormat="1" applyFont="1" applyBorder="1" applyAlignment="1">
      <alignment horizontal="center"/>
    </xf>
    <xf numFmtId="10" fontId="5" fillId="0" borderId="2" xfId="8" applyNumberFormat="1" applyFont="1" applyBorder="1" applyAlignment="1">
      <alignment horizontal="center"/>
    </xf>
    <xf numFmtId="168" fontId="2" fillId="0" borderId="2" xfId="2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8" fontId="2" fillId="0" borderId="7" xfId="2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4" fontId="0" fillId="0" borderId="0" xfId="2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8" fontId="2" fillId="5" borderId="2" xfId="2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167" fontId="0" fillId="5" borderId="1" xfId="0" applyNumberFormat="1" applyFont="1" applyFill="1" applyBorder="1" applyAlignment="1">
      <alignment horizontal="center"/>
    </xf>
    <xf numFmtId="9" fontId="2" fillId="5" borderId="2" xfId="8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37" fontId="2" fillId="5" borderId="2" xfId="2" applyNumberFormat="1" applyFont="1" applyFill="1" applyBorder="1" applyAlignment="1">
      <alignment horizontal="center"/>
    </xf>
    <xf numFmtId="44" fontId="2" fillId="5" borderId="5" xfId="2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4" fontId="13" fillId="5" borderId="2" xfId="0" applyNumberFormat="1" applyFont="1" applyFill="1" applyBorder="1"/>
    <xf numFmtId="164" fontId="0" fillId="5" borderId="1" xfId="0" applyNumberFormat="1" applyFont="1" applyFill="1" applyBorder="1" applyAlignment="1">
      <alignment horizontal="center"/>
    </xf>
    <xf numFmtId="44" fontId="2" fillId="5" borderId="2" xfId="2" applyFont="1" applyFill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44" fontId="2" fillId="5" borderId="7" xfId="2" applyFont="1" applyFill="1" applyBorder="1" applyAlignment="1">
      <alignment horizontal="center"/>
    </xf>
    <xf numFmtId="0" fontId="0" fillId="5" borderId="1" xfId="0" applyFill="1" applyBorder="1"/>
    <xf numFmtId="168" fontId="0" fillId="5" borderId="2" xfId="2" applyNumberFormat="1" applyFont="1" applyFill="1" applyBorder="1"/>
    <xf numFmtId="0" fontId="3" fillId="4" borderId="0" xfId="0" applyFont="1" applyFill="1" applyAlignment="1">
      <alignment horizontal="center"/>
    </xf>
    <xf numFmtId="0" fontId="0" fillId="3" borderId="10" xfId="0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67" fontId="0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NumberFormat="1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</cellXfs>
  <cellStyles count="11">
    <cellStyle name="Comma" xfId="10" builtinId="3"/>
    <cellStyle name="Comma0" xfId="1"/>
    <cellStyle name="Currency" xfId="2" builtinId="4"/>
    <cellStyle name="Currency 2" xfId="3"/>
    <cellStyle name="Currency0" xfId="4"/>
    <cellStyle name="Date" xfId="5"/>
    <cellStyle name="Fixed" xfId="6"/>
    <cellStyle name="Hyperlink" xfId="9" builtinId="8"/>
    <cellStyle name="Normal" xfId="0" builtinId="0"/>
    <cellStyle name="Normal 2" xfId="7"/>
    <cellStyle name="Percent" xfId="8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medepot.com/p/Hampton-Bay-1-Light-86-in-Brushed-Nickel-Pendant-Track-Lighting-Fixture-17100/202193765?storeId=10051&amp;langId=-1&amp;catalogId=10053" TargetMode="External"/><Relationship Id="rId13" Type="http://schemas.openxmlformats.org/officeDocument/2006/relationships/hyperlink" Target="http://www.homedepot.com/p/Honeywell-7-Day-Programmable-Thermostat-RTH221B/203539508?storeId=10051&amp;langId=-1&amp;catalogId=10053" TargetMode="External"/><Relationship Id="rId18" Type="http://schemas.openxmlformats.org/officeDocument/2006/relationships/hyperlink" Target="http://www.amazon.com/dp/B001AI1VMW/ref=wl_it_dp_o_pd_nS_ttl?_encoding=UTF8&amp;colid=14GC3RSSFHR5N&amp;coliid=I3LNB68XQ5YRMC&amp;psc=1" TargetMode="External"/><Relationship Id="rId3" Type="http://schemas.openxmlformats.org/officeDocument/2006/relationships/hyperlink" Target="http://www.homedepot.com/p/Glacier-Bay-24-5-in-Vanity-in-Oak-with-Cultured-Marble-Vanity-Top-in-White-GB24P2-O/205649117?storeId=10051&amp;langId=-1&amp;catalogId=10053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http://www.homedepot.com/p/TrafficMASTER-Portland-Stone-Gray-18-in-x-18-in-Glazed-Ceramic-Floor-and-Wall-Tile-17-44-sq-ft-case-ULMK/204834499" TargetMode="External"/><Relationship Id="rId12" Type="http://schemas.openxmlformats.org/officeDocument/2006/relationships/hyperlink" Target="http://www.homedepot.com/p/Zenith-16-in-W-x-20-in-H-x-4-in-D-Recessed-Frameless-Mirrored-Medicine-Cabinet-in-Mirrored-Glass-MP109HD/203833771?storeId=10051&amp;langId=-1&amp;catalogId=10053" TargetMode="External"/><Relationship Id="rId17" Type="http://schemas.openxmlformats.org/officeDocument/2006/relationships/hyperlink" Target="http://www.amazon.com/dp/B00GMR51XG/ref=wl_it_dp_o_pC_nS_ttl?_encoding=UTF8&amp;colid=14GC3RSSFHR5N&amp;coliid=I2WJE73VZ7EXN9" TargetMode="External"/><Relationship Id="rId2" Type="http://schemas.openxmlformats.org/officeDocument/2006/relationships/hyperlink" Target="http://www.homedepot.com/p/Delta-Foundations-Single-Handle-Kitchen-Faucet-in-Chrome-B1310LF/203124956?storeId=10051&amp;langId=-1&amp;catalogId=10053" TargetMode="External"/><Relationship Id="rId16" Type="http://schemas.openxmlformats.org/officeDocument/2006/relationships/hyperlink" Target="http://www.amazon.com/dp/B006HZ2NNE/ref=wl_it_dp_o_pC_nS_ttl?_encoding=UTF8&amp;colid=14GC3RSSFHR5N&amp;coliid=I1B729UXC16WYN&amp;psc=1" TargetMode="External"/><Relationship Id="rId20" Type="http://schemas.openxmlformats.org/officeDocument/2006/relationships/hyperlink" Target="http://www.amazon.com/dp/B00EAD6PNE/ref=wl_it_dp_o_pd_nS_ttl?_encoding=UTF8&amp;colid=14GC3RSSFHR5N&amp;coliid=IOR3ZA4GDJ9GT&amp;psc=1" TargetMode="External"/><Relationship Id="rId1" Type="http://schemas.openxmlformats.org/officeDocument/2006/relationships/hyperlink" Target="http://www.homedepot.com/p/MS-International-Metro-Charcoal-12-in-x-24-in-Glazed-Porcelain-Floor-and-Wall-Tile-16-sq-ft-case-NMETCHA1224/203673203" TargetMode="External"/><Relationship Id="rId6" Type="http://schemas.openxmlformats.org/officeDocument/2006/relationships/hyperlink" Target="http://www.homedepot.com/p/MS-International-Arctic-Storm-12-in-x-12-in-x-10-mm-Honed-Marble-Mesh-Mounted-Mosaic-Floor-and-Wall-Tile-AS-10MM/203447805" TargetMode="External"/><Relationship Id="rId11" Type="http://schemas.openxmlformats.org/officeDocument/2006/relationships/hyperlink" Target="http://www.homedepot.com/p/Leviton-500-Watt-60-Minute-In-Wall-Digital-Timer-R62-6161T-1LW/202051145?storeId=10051&amp;langId=-1&amp;catalogId=10053" TargetMode="External"/><Relationship Id="rId5" Type="http://schemas.openxmlformats.org/officeDocument/2006/relationships/hyperlink" Target="http://www.homedepot.com/p/Glacier-Bay-Shaila-24-1-2-in-Vanity-in-Silverleaf-with-Cultured-Marble-Vanity-Top-in-White-and-Mirror-PPSOFSVL24M/205166935?storeId=10051&amp;langId=-1&amp;catalogId=10053" TargetMode="External"/><Relationship Id="rId15" Type="http://schemas.openxmlformats.org/officeDocument/2006/relationships/hyperlink" Target="http://www.amazon.com/dp/B00004U9JO/ref=wl_it_dp_o_pC_nS_ttl?_encoding=UTF8&amp;colid=14GC3RSSFHR5N&amp;coliid=IZ5UOEG8SDR30" TargetMode="External"/><Relationship Id="rId10" Type="http://schemas.openxmlformats.org/officeDocument/2006/relationships/hyperlink" Target="http://www.homedepot.com/p/Commercial-Electric-2-Light-Brushed-Nickel-Flushmount-2-Pack-EFG8012A-BN/202064742?storeId=10051&amp;langId=-1&amp;catalogId=10053" TargetMode="External"/><Relationship Id="rId19" Type="http://schemas.openxmlformats.org/officeDocument/2006/relationships/hyperlink" Target="http://www.amazon.com/dp/B001AHZRQO/ref=wl_it_dp_o_pC_S_ttl?_encoding=UTF8&amp;colid=14GC3RSSFHR5N&amp;coliid=I38BFAMXWPT46K&amp;psc=1" TargetMode="External"/><Relationship Id="rId4" Type="http://schemas.openxmlformats.org/officeDocument/2006/relationships/hyperlink" Target="http://www.homedepot.com/p/Peerless-Core-4-in-Centerset-Single-Handle-Bathroom-Faucet-in-Chrome-P131LF/203916741?storeId=10051&amp;langId=-1&amp;catalogId=10053" TargetMode="External"/><Relationship Id="rId9" Type="http://schemas.openxmlformats.org/officeDocument/2006/relationships/hyperlink" Target="http://www.homedepot.com/p/Elkay-Neptune-Drop-in-Stainless-Steel-25-in-4-Hole-Single-Bowl-Kitchen-Sink-HD114559/100660331?storeId=10051&amp;langId=-1&amp;catalogId=10053" TargetMode="External"/><Relationship Id="rId14" Type="http://schemas.openxmlformats.org/officeDocument/2006/relationships/hyperlink" Target="http://www.homedepot.com/p/Bootz-Industries-Aloha-5-ft-Right-Hand-Drain-Soaking-Tub-in-White-011-2364-00/10038900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R135"/>
  <sheetViews>
    <sheetView tabSelected="1" topLeftCell="B1" zoomScale="85" zoomScaleNormal="85" workbookViewId="0">
      <selection activeCell="C18" sqref="C18"/>
    </sheetView>
  </sheetViews>
  <sheetFormatPr defaultRowHeight="15"/>
  <cols>
    <col min="1" max="1" width="5.42578125" customWidth="1"/>
    <col min="2" max="2" width="24.42578125" customWidth="1"/>
    <col min="3" max="3" width="23" bestFit="1" customWidth="1"/>
    <col min="4" max="4" width="29.5703125" customWidth="1"/>
    <col min="5" max="5" width="17.85546875" customWidth="1"/>
    <col min="6" max="6" width="41.85546875" bestFit="1" customWidth="1"/>
    <col min="7" max="7" width="15.5703125" customWidth="1"/>
    <col min="8" max="8" width="39.140625" bestFit="1" customWidth="1"/>
    <col min="9" max="9" width="15.28515625" bestFit="1" customWidth="1"/>
    <col min="10" max="10" width="39.140625" bestFit="1" customWidth="1"/>
    <col min="11" max="11" width="16.28515625" bestFit="1" customWidth="1"/>
    <col min="12" max="13" width="28.85546875" bestFit="1" customWidth="1"/>
    <col min="14" max="14" width="11.28515625" customWidth="1"/>
    <col min="15" max="15" width="20.140625" customWidth="1"/>
    <col min="16" max="16" width="17.5703125" customWidth="1"/>
  </cols>
  <sheetData>
    <row r="2" spans="1:18">
      <c r="C2" s="146" t="s">
        <v>19</v>
      </c>
      <c r="D2" s="146"/>
      <c r="E2" s="146"/>
      <c r="F2" s="146"/>
      <c r="G2" s="146"/>
      <c r="H2" s="146"/>
    </row>
    <row r="3" spans="1:18" ht="15.75" thickBot="1"/>
    <row r="4" spans="1:18" ht="15" customHeight="1" thickBot="1">
      <c r="A4" s="1"/>
      <c r="B4" s="154" t="s">
        <v>40</v>
      </c>
      <c r="C4" s="153"/>
      <c r="D4" s="155" t="s">
        <v>50</v>
      </c>
      <c r="E4" s="156"/>
      <c r="F4" s="147" t="s">
        <v>169</v>
      </c>
      <c r="G4" s="147"/>
      <c r="H4" s="155" t="s">
        <v>20</v>
      </c>
      <c r="I4" s="157"/>
      <c r="J4" s="158" t="s">
        <v>21</v>
      </c>
      <c r="K4" s="159"/>
      <c r="L4" s="2"/>
      <c r="M4" s="3"/>
      <c r="N4" s="4"/>
      <c r="O4" s="5"/>
      <c r="P4" s="5"/>
      <c r="Q4" s="5"/>
      <c r="R4" s="6"/>
    </row>
    <row r="5" spans="1:18" ht="15" customHeight="1">
      <c r="A5" s="7"/>
      <c r="B5" s="137" t="s">
        <v>2</v>
      </c>
      <c r="C5" s="136">
        <v>460000</v>
      </c>
      <c r="D5" s="117" t="s">
        <v>0</v>
      </c>
      <c r="E5" s="118">
        <f>C15*(1-C16)</f>
        <v>4750</v>
      </c>
      <c r="F5" s="70" t="s">
        <v>0</v>
      </c>
      <c r="G5" s="55">
        <f>E5</f>
        <v>4750</v>
      </c>
      <c r="H5" s="40" t="s">
        <v>26</v>
      </c>
      <c r="I5" s="43">
        <f>(C5*C8)+C30+C31+C32</f>
        <v>35134</v>
      </c>
      <c r="J5" s="40" t="s">
        <v>26</v>
      </c>
      <c r="K5" s="43">
        <f>(C5*C8)+C31+C32+C30</f>
        <v>35134</v>
      </c>
      <c r="L5" s="8"/>
      <c r="M5" s="8"/>
      <c r="N5" s="7"/>
      <c r="O5" s="9"/>
      <c r="P5" s="5"/>
      <c r="Q5" s="10"/>
      <c r="R5" s="11"/>
    </row>
    <row r="6" spans="1:18" ht="15" customHeight="1">
      <c r="A6" s="7"/>
      <c r="B6" s="94" t="s">
        <v>115</v>
      </c>
      <c r="C6" s="95">
        <v>0</v>
      </c>
      <c r="D6" s="117" t="s">
        <v>10</v>
      </c>
      <c r="E6" s="119">
        <f>C15*(1-C16)*12</f>
        <v>57000</v>
      </c>
      <c r="F6" s="70" t="s">
        <v>10</v>
      </c>
      <c r="G6" s="56">
        <f>E6</f>
        <v>57000</v>
      </c>
      <c r="H6" s="33" t="s">
        <v>27</v>
      </c>
      <c r="I6" s="43">
        <f>E5</f>
        <v>4750</v>
      </c>
      <c r="J6" s="33" t="s">
        <v>27</v>
      </c>
      <c r="K6" s="43">
        <f>I6</f>
        <v>4750</v>
      </c>
      <c r="L6" s="8"/>
      <c r="M6" s="8"/>
      <c r="N6" s="7"/>
      <c r="O6" s="9"/>
      <c r="P6" s="5"/>
      <c r="Q6" s="10"/>
      <c r="R6" s="11"/>
    </row>
    <row r="7" spans="1:18" ht="15" customHeight="1">
      <c r="A7" s="12"/>
      <c r="B7" s="138" t="s">
        <v>168</v>
      </c>
      <c r="C7" s="139">
        <f>C5-C6</f>
        <v>460000</v>
      </c>
      <c r="D7" s="117"/>
      <c r="E7" s="120"/>
      <c r="F7" s="70"/>
      <c r="G7" s="57"/>
      <c r="H7" s="33" t="s">
        <v>13</v>
      </c>
      <c r="I7" s="14">
        <f>-PMT(C18/12, 30*12, C5*(1-C8))</f>
        <v>2181.8765763027441</v>
      </c>
      <c r="J7" s="33" t="s">
        <v>13</v>
      </c>
      <c r="K7" s="43">
        <f>-PMT(C19/12, 15*12, C5*(1-C8))</f>
        <v>3177.9620744189092</v>
      </c>
      <c r="L7" s="15"/>
      <c r="M7" s="15"/>
      <c r="N7" s="16"/>
      <c r="O7" s="5"/>
      <c r="P7" s="5"/>
      <c r="Q7" s="10"/>
      <c r="R7" s="6"/>
    </row>
    <row r="8" spans="1:18" ht="15" customHeight="1">
      <c r="A8" s="12"/>
      <c r="B8" s="13" t="s">
        <v>3</v>
      </c>
      <c r="C8" s="45">
        <v>0.05</v>
      </c>
      <c r="D8" s="117" t="s">
        <v>41</v>
      </c>
      <c r="E8" s="118">
        <f>E5*50</f>
        <v>237500</v>
      </c>
      <c r="F8" s="70" t="s">
        <v>41</v>
      </c>
      <c r="G8" s="55">
        <f>G5*50</f>
        <v>237500</v>
      </c>
      <c r="H8" s="33" t="s">
        <v>184</v>
      </c>
      <c r="I8" s="39">
        <f>I7+C39+C40+C44</f>
        <v>3484.5432429694106</v>
      </c>
      <c r="J8" s="33" t="s">
        <v>184</v>
      </c>
      <c r="K8" s="43">
        <f>K7+C39+C40+C44</f>
        <v>4480.6287410855757</v>
      </c>
      <c r="L8" s="15"/>
      <c r="M8" s="15"/>
      <c r="N8" s="16"/>
      <c r="O8" s="5"/>
      <c r="P8" s="5"/>
      <c r="Q8" s="10"/>
      <c r="R8" s="6"/>
    </row>
    <row r="9" spans="1:18" ht="15" customHeight="1">
      <c r="A9" s="12"/>
      <c r="B9" s="134" t="s">
        <v>4</v>
      </c>
      <c r="C9" s="135">
        <v>3</v>
      </c>
      <c r="D9" s="117" t="s">
        <v>42</v>
      </c>
      <c r="E9" s="118">
        <f>E8-C5</f>
        <v>-222500</v>
      </c>
      <c r="F9" s="126" t="s">
        <v>42</v>
      </c>
      <c r="G9" s="55">
        <f>G8-C5</f>
        <v>-222500</v>
      </c>
      <c r="H9" s="33" t="s">
        <v>185</v>
      </c>
      <c r="I9" s="39">
        <f>C15-I8</f>
        <v>1515.4567570305894</v>
      </c>
      <c r="J9" s="33" t="s">
        <v>185</v>
      </c>
      <c r="K9" s="39">
        <f>C15-K8</f>
        <v>519.37125891442429</v>
      </c>
      <c r="L9" s="15"/>
      <c r="M9" s="15"/>
      <c r="N9" s="16"/>
      <c r="O9" s="5"/>
      <c r="P9" s="5"/>
      <c r="Q9" s="10"/>
      <c r="R9" s="6"/>
    </row>
    <row r="10" spans="1:18" ht="15" customHeight="1">
      <c r="A10" s="12"/>
      <c r="B10" s="134" t="s">
        <v>174</v>
      </c>
      <c r="C10" s="135">
        <v>2100</v>
      </c>
      <c r="D10" s="117"/>
      <c r="E10" s="118"/>
      <c r="F10" s="70"/>
      <c r="G10" s="55"/>
      <c r="H10" s="33"/>
      <c r="I10" s="39"/>
      <c r="J10" s="33"/>
      <c r="K10" s="39"/>
      <c r="L10" s="15"/>
      <c r="M10" s="15"/>
      <c r="N10" s="16"/>
      <c r="O10" s="5"/>
      <c r="P10" s="5"/>
      <c r="Q10" s="10"/>
      <c r="R10" s="6"/>
    </row>
    <row r="11" spans="1:18" ht="15" customHeight="1">
      <c r="A11" s="12"/>
      <c r="B11" s="134" t="s">
        <v>175</v>
      </c>
      <c r="C11" s="135">
        <v>1650</v>
      </c>
      <c r="D11" s="117"/>
      <c r="E11" s="118"/>
      <c r="F11" s="70"/>
      <c r="G11" s="55"/>
      <c r="H11" s="33"/>
      <c r="I11" s="39"/>
      <c r="J11" s="33"/>
      <c r="K11" s="39"/>
      <c r="L11" s="15"/>
      <c r="M11" s="15"/>
      <c r="N11" s="16"/>
      <c r="O11" s="5"/>
      <c r="P11" s="5"/>
      <c r="Q11" s="10"/>
      <c r="R11" s="6"/>
    </row>
    <row r="12" spans="1:18" ht="15" customHeight="1">
      <c r="A12" s="12"/>
      <c r="B12" s="134" t="s">
        <v>176</v>
      </c>
      <c r="C12" s="135">
        <v>1250</v>
      </c>
      <c r="D12" s="117"/>
      <c r="E12" s="118"/>
      <c r="F12" s="70"/>
      <c r="G12" s="55"/>
      <c r="H12" s="131"/>
      <c r="I12" s="39"/>
      <c r="J12" s="33"/>
      <c r="K12" s="39"/>
      <c r="L12" s="15"/>
      <c r="M12" s="15"/>
      <c r="N12" s="16"/>
      <c r="O12" s="5"/>
      <c r="P12" s="5"/>
      <c r="Q12" s="10"/>
      <c r="R12" s="6"/>
    </row>
    <row r="13" spans="1:18" ht="15" customHeight="1">
      <c r="A13" s="12"/>
      <c r="B13" s="134" t="s">
        <v>177</v>
      </c>
      <c r="C13" s="135">
        <v>0</v>
      </c>
      <c r="D13" s="117"/>
      <c r="E13" s="118"/>
      <c r="F13" s="70"/>
      <c r="G13" s="55"/>
      <c r="H13" s="33"/>
      <c r="I13" s="39"/>
      <c r="J13" s="33"/>
      <c r="K13" s="39"/>
      <c r="L13" s="15"/>
      <c r="M13" s="15"/>
      <c r="N13" s="16"/>
      <c r="O13" s="5"/>
      <c r="P13" s="5"/>
      <c r="Q13" s="10"/>
      <c r="R13" s="6"/>
    </row>
    <row r="14" spans="1:18" ht="15" customHeight="1">
      <c r="A14" s="12"/>
      <c r="B14" s="13" t="s">
        <v>186</v>
      </c>
      <c r="C14" s="36">
        <v>0</v>
      </c>
      <c r="D14" s="117"/>
      <c r="E14" s="118"/>
      <c r="F14" s="70"/>
      <c r="G14" s="55"/>
      <c r="H14" s="33"/>
      <c r="I14" s="39"/>
      <c r="J14" s="33"/>
      <c r="K14" s="39"/>
      <c r="L14" s="15"/>
      <c r="M14" s="15"/>
      <c r="N14" s="16"/>
      <c r="O14" s="5"/>
      <c r="P14" s="5"/>
      <c r="Q14" s="10"/>
      <c r="R14" s="6"/>
    </row>
    <row r="15" spans="1:18" ht="15" customHeight="1">
      <c r="A15" s="12"/>
      <c r="B15" s="13" t="s">
        <v>5</v>
      </c>
      <c r="C15" s="38">
        <f>SUM(C10:C11:C12:C13:C14)</f>
        <v>5000</v>
      </c>
      <c r="D15" s="117" t="s">
        <v>52</v>
      </c>
      <c r="E15" s="118">
        <f>C15*0.5*12</f>
        <v>30000</v>
      </c>
      <c r="F15" s="70" t="s">
        <v>52</v>
      </c>
      <c r="G15" s="55">
        <f>E15</f>
        <v>30000</v>
      </c>
      <c r="H15" s="33"/>
      <c r="I15" s="39"/>
      <c r="J15" s="33"/>
      <c r="K15" s="39"/>
      <c r="L15" s="15"/>
      <c r="M15" s="15"/>
      <c r="N15" s="16"/>
      <c r="O15" s="5"/>
      <c r="P15" s="5"/>
      <c r="Q15" s="10"/>
      <c r="R15" s="6"/>
    </row>
    <row r="16" spans="1:18" ht="15" customHeight="1">
      <c r="A16" s="12"/>
      <c r="B16" s="132" t="s">
        <v>183</v>
      </c>
      <c r="C16" s="133">
        <v>0.05</v>
      </c>
      <c r="D16" s="117" t="s">
        <v>49</v>
      </c>
      <c r="E16" s="121">
        <f>I22/I5</f>
        <v>0.42388082329174159</v>
      </c>
      <c r="F16" s="70" t="s">
        <v>49</v>
      </c>
      <c r="G16" s="58">
        <f>K22/K5</f>
        <v>0.47860121065602301</v>
      </c>
      <c r="H16" s="33" t="s">
        <v>25</v>
      </c>
      <c r="I16" s="39">
        <f>E6</f>
        <v>57000</v>
      </c>
      <c r="J16" s="33" t="s">
        <v>25</v>
      </c>
      <c r="K16" s="39">
        <f>I16</f>
        <v>57000</v>
      </c>
      <c r="L16" s="15"/>
      <c r="M16" s="15"/>
      <c r="N16" s="16"/>
      <c r="O16" s="5"/>
      <c r="P16" s="5"/>
      <c r="Q16" s="10"/>
      <c r="R16" s="6"/>
    </row>
    <row r="17" spans="1:18" ht="15" customHeight="1">
      <c r="A17" s="12"/>
      <c r="B17" s="92"/>
      <c r="C17" s="93"/>
      <c r="D17" s="117" t="s">
        <v>48</v>
      </c>
      <c r="E17" s="120">
        <f>(I30+'15 Vs. 30'!D10)/Rent_Calc!I5</f>
        <v>0.35825651847845191</v>
      </c>
      <c r="F17" s="70" t="s">
        <v>48</v>
      </c>
      <c r="G17" s="57">
        <f>(K30+'15 Vs. 30'!K10)/Rent_Calc!K5</f>
        <v>0.47860121065602301</v>
      </c>
      <c r="H17" s="34" t="s">
        <v>12</v>
      </c>
      <c r="I17" s="39">
        <f>I7*12</f>
        <v>26182.518915632929</v>
      </c>
      <c r="J17" s="34" t="s">
        <v>12</v>
      </c>
      <c r="K17" s="39">
        <f>K7*12</f>
        <v>38135.544893026912</v>
      </c>
      <c r="L17" s="15"/>
      <c r="M17" s="15"/>
      <c r="N17" s="16"/>
      <c r="O17" s="5"/>
      <c r="P17" s="5"/>
      <c r="Q17" s="10"/>
      <c r="R17" s="6"/>
    </row>
    <row r="18" spans="1:18" ht="15" customHeight="1">
      <c r="A18" s="12"/>
      <c r="B18" s="41" t="s">
        <v>8</v>
      </c>
      <c r="C18" s="37">
        <v>4.3749999999999997E-2</v>
      </c>
      <c r="D18" s="117" t="s">
        <v>53</v>
      </c>
      <c r="E18" s="120">
        <f>E15/C5</f>
        <v>6.5217391304347824E-2</v>
      </c>
      <c r="F18" s="70" t="s">
        <v>53</v>
      </c>
      <c r="G18" s="57">
        <f>E15/C5</f>
        <v>6.5217391304347824E-2</v>
      </c>
      <c r="H18" s="34" t="s">
        <v>15</v>
      </c>
      <c r="I18" s="19">
        <f>E30</f>
        <v>23132</v>
      </c>
      <c r="J18" s="34" t="s">
        <v>15</v>
      </c>
      <c r="K18" s="19">
        <f>G30</f>
        <v>23132</v>
      </c>
      <c r="L18" s="15"/>
      <c r="M18" s="15"/>
      <c r="N18" s="16"/>
      <c r="O18" s="5"/>
      <c r="P18" s="5"/>
      <c r="Q18" s="10"/>
      <c r="R18" s="6"/>
    </row>
    <row r="19" spans="1:18" ht="15" customHeight="1" thickBot="1">
      <c r="A19" s="12"/>
      <c r="B19" s="41" t="s">
        <v>9</v>
      </c>
      <c r="C19" s="37">
        <v>3.7499999999999999E-2</v>
      </c>
      <c r="D19" s="117" t="s">
        <v>54</v>
      </c>
      <c r="E19" s="120">
        <f>(E6-E30)/C5</f>
        <v>7.3626086956521744E-2</v>
      </c>
      <c r="F19" s="70" t="s">
        <v>54</v>
      </c>
      <c r="G19" s="57">
        <f>(G6-E30-C31-C32)/C5</f>
        <v>4.7247826086956525E-2</v>
      </c>
      <c r="H19" s="35" t="s">
        <v>44</v>
      </c>
      <c r="I19" s="39">
        <f>I17+I18</f>
        <v>49314.518915632929</v>
      </c>
      <c r="J19" s="35" t="s">
        <v>44</v>
      </c>
      <c r="K19" s="39">
        <f>K17+K18</f>
        <v>61267.544893026912</v>
      </c>
      <c r="L19" s="15"/>
      <c r="M19" s="15"/>
      <c r="N19" s="16"/>
      <c r="O19" s="5"/>
      <c r="P19" s="5"/>
      <c r="Q19" s="10"/>
      <c r="R19" s="6"/>
    </row>
    <row r="20" spans="1:18" ht="15" customHeight="1" thickBot="1">
      <c r="A20" s="12"/>
      <c r="B20" s="152" t="s">
        <v>43</v>
      </c>
      <c r="C20" s="153"/>
      <c r="D20" s="150" t="s">
        <v>15</v>
      </c>
      <c r="E20" s="151"/>
      <c r="F20" s="148" t="s">
        <v>15</v>
      </c>
      <c r="G20" s="149"/>
      <c r="H20" s="35"/>
      <c r="I20" s="39"/>
      <c r="J20" s="35"/>
      <c r="K20" s="39"/>
      <c r="L20" s="15"/>
      <c r="M20" s="15"/>
      <c r="N20" s="16"/>
      <c r="O20" s="5"/>
      <c r="P20" s="5"/>
      <c r="Q20" s="10"/>
      <c r="R20" s="6"/>
    </row>
    <row r="21" spans="1:18" ht="15" customHeight="1">
      <c r="A21" s="17"/>
      <c r="B21" s="52" t="s">
        <v>179</v>
      </c>
      <c r="C21" s="68">
        <f>C42/C15</f>
        <v>1.4999999999999999E-2</v>
      </c>
      <c r="D21" s="127" t="s">
        <v>11</v>
      </c>
      <c r="E21" s="128">
        <v>11676</v>
      </c>
      <c r="F21" s="18" t="s">
        <v>11</v>
      </c>
      <c r="G21" s="59">
        <f>E21</f>
        <v>11676</v>
      </c>
      <c r="H21" s="35" t="s">
        <v>46</v>
      </c>
      <c r="I21" s="44">
        <f>I16-I19</f>
        <v>7685.4810843670712</v>
      </c>
      <c r="J21" s="35" t="s">
        <v>46</v>
      </c>
      <c r="K21" s="44">
        <f>K16-K19</f>
        <v>-4267.5448930269122</v>
      </c>
      <c r="L21" s="15"/>
      <c r="M21" s="15"/>
      <c r="N21" s="18"/>
      <c r="O21" s="5"/>
      <c r="P21" s="5"/>
      <c r="Q21" s="10"/>
      <c r="R21" s="6"/>
    </row>
    <row r="22" spans="1:18" ht="15" customHeight="1">
      <c r="A22" s="17"/>
      <c r="B22" s="13" t="s">
        <v>6</v>
      </c>
      <c r="C22" s="53">
        <f>C39/C15</f>
        <v>0.1946</v>
      </c>
      <c r="D22" s="127" t="s">
        <v>1</v>
      </c>
      <c r="E22" s="128">
        <v>3000</v>
      </c>
      <c r="F22" s="18" t="s">
        <v>1</v>
      </c>
      <c r="G22" s="59">
        <f t="shared" ref="G22:G29" si="0">E22</f>
        <v>3000</v>
      </c>
      <c r="H22" s="35" t="s">
        <v>45</v>
      </c>
      <c r="I22" s="44">
        <f>I21+'15 Vs. 30'!D10</f>
        <v>14892.62884553205</v>
      </c>
      <c r="J22" s="35" t="s">
        <v>45</v>
      </c>
      <c r="K22" s="44">
        <f>K21+'15 Vs. 30'!K10</f>
        <v>16815.174935188712</v>
      </c>
      <c r="L22" s="15"/>
      <c r="M22" s="15"/>
      <c r="N22" s="18"/>
      <c r="O22" s="5"/>
      <c r="P22" s="5"/>
      <c r="Q22" s="10"/>
      <c r="R22" s="6"/>
    </row>
    <row r="23" spans="1:18" ht="15" customHeight="1">
      <c r="A23" s="17"/>
      <c r="B23" s="13" t="s">
        <v>22</v>
      </c>
      <c r="C23" s="53">
        <f>C40/C15</f>
        <v>2.4333333333333335E-2</v>
      </c>
      <c r="D23" s="129" t="s">
        <v>16</v>
      </c>
      <c r="E23" s="128">
        <v>1460</v>
      </c>
      <c r="F23" s="32" t="s">
        <v>16</v>
      </c>
      <c r="G23" s="59">
        <f t="shared" si="0"/>
        <v>1460</v>
      </c>
      <c r="H23" s="61"/>
      <c r="I23" s="62"/>
      <c r="J23" s="61"/>
      <c r="K23" s="62"/>
      <c r="L23" s="15"/>
      <c r="M23" s="15"/>
      <c r="N23" s="15"/>
      <c r="O23" s="5"/>
      <c r="P23" s="5"/>
      <c r="Q23" s="10"/>
      <c r="R23" s="6"/>
    </row>
    <row r="24" spans="1:18" ht="15" customHeight="1">
      <c r="A24" s="20"/>
      <c r="B24" s="13" t="s">
        <v>7</v>
      </c>
      <c r="C24" s="53">
        <f>C41/C15</f>
        <v>0.05</v>
      </c>
      <c r="D24" s="130" t="s">
        <v>178</v>
      </c>
      <c r="E24" s="128">
        <v>900</v>
      </c>
      <c r="F24" s="125" t="s">
        <v>170</v>
      </c>
      <c r="G24" s="59">
        <f t="shared" si="0"/>
        <v>900</v>
      </c>
      <c r="H24" s="61"/>
      <c r="I24" s="63"/>
      <c r="J24" s="61"/>
      <c r="K24" s="63"/>
      <c r="L24" s="15"/>
      <c r="M24" s="15"/>
      <c r="N24" s="15"/>
      <c r="O24" s="5"/>
      <c r="P24" s="5"/>
      <c r="Q24" s="10"/>
      <c r="R24" s="11"/>
    </row>
    <row r="25" spans="1:18" ht="15" customHeight="1">
      <c r="A25" s="20"/>
      <c r="B25" s="13" t="s">
        <v>171</v>
      </c>
      <c r="C25" s="53">
        <f>C43/C15</f>
        <v>0.06</v>
      </c>
      <c r="D25" s="130" t="s">
        <v>172</v>
      </c>
      <c r="E25" s="128">
        <v>3600</v>
      </c>
      <c r="F25" s="20" t="s">
        <v>172</v>
      </c>
      <c r="G25" s="59">
        <f t="shared" si="0"/>
        <v>3600</v>
      </c>
      <c r="H25" s="61"/>
      <c r="I25" s="63"/>
      <c r="J25" s="61"/>
      <c r="K25" s="63"/>
      <c r="L25" s="15"/>
      <c r="M25" s="15"/>
      <c r="N25" s="15"/>
      <c r="O25" s="5"/>
      <c r="P25" s="5"/>
      <c r="Q25" s="10"/>
      <c r="R25" s="11"/>
    </row>
    <row r="26" spans="1:18" ht="15" customHeight="1">
      <c r="A26" s="20"/>
      <c r="B26" s="13" t="s">
        <v>173</v>
      </c>
      <c r="C26" s="53">
        <f>C44/C15</f>
        <v>4.1599999999999998E-2</v>
      </c>
      <c r="D26" s="130" t="s">
        <v>173</v>
      </c>
      <c r="E26" s="128">
        <v>2496</v>
      </c>
      <c r="F26" s="20" t="s">
        <v>173</v>
      </c>
      <c r="G26" s="59">
        <f t="shared" si="0"/>
        <v>2496</v>
      </c>
      <c r="H26" s="61"/>
      <c r="I26" s="63"/>
      <c r="J26" s="61"/>
      <c r="K26" s="63"/>
      <c r="L26" s="15"/>
      <c r="M26" s="15"/>
      <c r="N26" s="15"/>
      <c r="O26" s="5"/>
      <c r="P26" s="5"/>
      <c r="Q26" s="10"/>
      <c r="R26" s="11"/>
    </row>
    <row r="27" spans="1:18" ht="15" customHeight="1">
      <c r="A27" s="20"/>
      <c r="B27" s="41" t="s">
        <v>18</v>
      </c>
      <c r="C27" s="69">
        <v>0</v>
      </c>
      <c r="D27" s="130" t="s">
        <v>17</v>
      </c>
      <c r="E27" s="128">
        <v>0</v>
      </c>
      <c r="F27" s="20" t="s">
        <v>17</v>
      </c>
      <c r="G27" s="59">
        <f t="shared" si="0"/>
        <v>0</v>
      </c>
      <c r="H27" s="61"/>
      <c r="I27" s="63"/>
      <c r="J27" s="61"/>
      <c r="K27" s="63"/>
      <c r="L27" s="15"/>
      <c r="M27" s="15"/>
      <c r="N27" s="15"/>
      <c r="O27" s="5"/>
      <c r="P27" s="5"/>
      <c r="Q27" s="10"/>
      <c r="R27" s="11"/>
    </row>
    <row r="28" spans="1:18" ht="15" customHeight="1">
      <c r="A28" s="20"/>
      <c r="B28" s="41"/>
      <c r="C28" s="69"/>
      <c r="D28" s="125"/>
      <c r="E28" s="122"/>
      <c r="F28" s="20"/>
      <c r="G28" s="59"/>
      <c r="H28" s="61"/>
      <c r="I28" s="63"/>
      <c r="J28" s="61"/>
      <c r="K28" s="63"/>
      <c r="L28" s="15"/>
      <c r="M28" s="15"/>
      <c r="N28" s="15"/>
      <c r="O28" s="5"/>
      <c r="P28" s="5"/>
      <c r="Q28" s="10"/>
      <c r="R28" s="11"/>
    </row>
    <row r="29" spans="1:18" ht="15" customHeight="1" thickBot="1">
      <c r="A29" s="21"/>
      <c r="B29" s="41" t="s">
        <v>180</v>
      </c>
      <c r="C29" s="69">
        <f>SUM(C21:C27)</f>
        <v>0.38553333333333339</v>
      </c>
      <c r="D29" s="123"/>
      <c r="E29" s="124"/>
      <c r="F29" s="42"/>
      <c r="G29" s="124">
        <f t="shared" si="0"/>
        <v>0</v>
      </c>
      <c r="H29" s="66"/>
      <c r="I29" s="67"/>
      <c r="J29" s="66"/>
      <c r="K29" s="67"/>
      <c r="L29" s="15"/>
      <c r="M29" s="15"/>
      <c r="N29" s="15"/>
      <c r="O29" s="5"/>
      <c r="P29" s="5"/>
      <c r="Q29" s="10"/>
      <c r="R29" s="11"/>
    </row>
    <row r="30" spans="1:18" ht="15" customHeight="1" thickBot="1">
      <c r="A30" s="21"/>
      <c r="B30" s="31" t="s">
        <v>23</v>
      </c>
      <c r="C30" s="54">
        <v>0</v>
      </c>
      <c r="D30" s="123" t="s">
        <v>14</v>
      </c>
      <c r="E30" s="124">
        <f>SUM(E21:E29)</f>
        <v>23132</v>
      </c>
      <c r="F30" s="42" t="s">
        <v>14</v>
      </c>
      <c r="G30" s="60">
        <f>SUM(G21:G29)</f>
        <v>23132</v>
      </c>
      <c r="H30" s="64" t="s">
        <v>47</v>
      </c>
      <c r="I30" s="65">
        <f>IF(I21&gt;=0, I21*0.7, I21)</f>
        <v>5379.8367590569496</v>
      </c>
      <c r="J30" s="64" t="s">
        <v>47</v>
      </c>
      <c r="K30" s="65">
        <f>IF(K21&gt;=0, K21*0.7, K21)</f>
        <v>-4267.5448930269122</v>
      </c>
      <c r="L30" s="15"/>
      <c r="M30" s="15"/>
      <c r="N30" s="15"/>
      <c r="O30" s="5"/>
      <c r="P30" s="5"/>
      <c r="Q30" s="10"/>
      <c r="R30" s="11"/>
    </row>
    <row r="31" spans="1:18" ht="15" customHeight="1">
      <c r="A31" s="22"/>
      <c r="B31" s="140" t="s">
        <v>24</v>
      </c>
      <c r="C31" s="141">
        <v>8237</v>
      </c>
      <c r="D31" s="24"/>
      <c r="E31" s="25"/>
      <c r="F31" s="24"/>
      <c r="G31" s="26"/>
      <c r="H31" s="24"/>
      <c r="I31" s="26"/>
      <c r="J31" s="22"/>
      <c r="K31" s="27"/>
      <c r="L31" s="22"/>
      <c r="M31" s="5"/>
      <c r="N31" s="5"/>
      <c r="O31" s="5"/>
      <c r="P31" s="5"/>
    </row>
    <row r="32" spans="1:18" ht="15" customHeight="1" thickBot="1">
      <c r="A32" s="22"/>
      <c r="B32" s="142" t="s">
        <v>28</v>
      </c>
      <c r="C32" s="143">
        <v>3897</v>
      </c>
      <c r="D32" s="29"/>
      <c r="E32" s="30"/>
      <c r="F32" s="5"/>
      <c r="J32" s="22"/>
      <c r="K32" s="27"/>
      <c r="L32" s="22"/>
      <c r="M32" s="5"/>
      <c r="N32" s="5"/>
      <c r="O32" s="5"/>
      <c r="P32" s="5"/>
    </row>
    <row r="33" spans="1:16" ht="15" customHeight="1">
      <c r="A33" s="22"/>
      <c r="B33" s="23"/>
      <c r="C33" s="22"/>
      <c r="D33" s="29"/>
      <c r="E33" s="30"/>
      <c r="J33" s="22"/>
      <c r="K33" s="27"/>
      <c r="L33" s="22"/>
      <c r="M33" s="5"/>
      <c r="N33" s="5"/>
      <c r="O33" s="5"/>
      <c r="P33" s="5"/>
    </row>
    <row r="34" spans="1:16" ht="15" customHeight="1">
      <c r="A34" s="22"/>
      <c r="B34" s="5"/>
      <c r="C34" s="5"/>
      <c r="D34" s="29"/>
      <c r="E34" s="30"/>
      <c r="J34" s="22"/>
      <c r="K34" s="27"/>
      <c r="L34" s="22"/>
      <c r="M34" s="5"/>
      <c r="N34" s="5"/>
      <c r="O34" s="5"/>
      <c r="P34" s="5"/>
    </row>
    <row r="35" spans="1:16" ht="15" customHeight="1">
      <c r="A35" s="22"/>
      <c r="C35" s="146" t="s">
        <v>156</v>
      </c>
      <c r="D35" s="146"/>
      <c r="E35" s="146"/>
      <c r="F35" s="146"/>
      <c r="G35" s="146"/>
      <c r="H35" s="146"/>
      <c r="J35" s="22"/>
      <c r="K35" s="27"/>
      <c r="L35" s="22"/>
      <c r="M35" s="5"/>
      <c r="N35" s="5"/>
      <c r="O35" s="5"/>
      <c r="P35" s="5"/>
    </row>
    <row r="36" spans="1:16" ht="15" customHeight="1" thickBot="1">
      <c r="A36" s="22"/>
      <c r="D36" s="29"/>
      <c r="E36" s="30"/>
      <c r="J36" s="22"/>
      <c r="K36" s="27"/>
      <c r="L36" s="22"/>
      <c r="M36" s="5"/>
      <c r="N36" s="5"/>
      <c r="O36" s="5"/>
      <c r="P36" s="5"/>
    </row>
    <row r="37" spans="1:16">
      <c r="A37" s="28"/>
      <c r="B37" s="96" t="s">
        <v>0</v>
      </c>
      <c r="C37" s="103">
        <f>E5</f>
        <v>4750</v>
      </c>
      <c r="D37" s="96" t="s">
        <v>182</v>
      </c>
      <c r="E37" s="109">
        <f>K5</f>
        <v>35134</v>
      </c>
      <c r="F37" s="96" t="s">
        <v>167</v>
      </c>
      <c r="G37" s="116">
        <f>C50/E50</f>
        <v>0.27502168847260933</v>
      </c>
      <c r="H37" s="102" t="s">
        <v>181</v>
      </c>
      <c r="I37" s="97"/>
    </row>
    <row r="38" spans="1:16">
      <c r="B38" s="92"/>
      <c r="C38" s="104"/>
      <c r="D38" s="92"/>
      <c r="E38" s="106"/>
      <c r="F38" s="92"/>
      <c r="G38" s="93"/>
      <c r="H38" s="5"/>
      <c r="I38" s="93"/>
    </row>
    <row r="39" spans="1:16">
      <c r="B39" s="92" t="s">
        <v>161</v>
      </c>
      <c r="C39" s="104">
        <f>E21/12</f>
        <v>973</v>
      </c>
      <c r="D39" s="92" t="s">
        <v>159</v>
      </c>
      <c r="E39" s="106">
        <f>C30</f>
        <v>0</v>
      </c>
      <c r="F39" s="92"/>
      <c r="G39" s="93"/>
      <c r="H39" s="5"/>
      <c r="I39" s="93"/>
    </row>
    <row r="40" spans="1:16">
      <c r="B40" s="92" t="s">
        <v>162</v>
      </c>
      <c r="C40" s="104">
        <f>E23/12</f>
        <v>121.66666666666667</v>
      </c>
      <c r="D40" s="92"/>
      <c r="E40" s="106"/>
      <c r="F40" s="92"/>
      <c r="G40" s="93"/>
      <c r="H40" s="5"/>
      <c r="I40" s="93"/>
    </row>
    <row r="41" spans="1:16">
      <c r="B41" s="92" t="s">
        <v>163</v>
      </c>
      <c r="C41" s="104">
        <f>E22/12</f>
        <v>250</v>
      </c>
      <c r="D41" s="92" t="s">
        <v>157</v>
      </c>
      <c r="E41" s="106"/>
      <c r="F41" s="92"/>
      <c r="G41" s="93"/>
      <c r="H41" s="5"/>
      <c r="I41" s="93"/>
    </row>
    <row r="42" spans="1:16">
      <c r="B42" s="92" t="s">
        <v>178</v>
      </c>
      <c r="C42" s="104">
        <f>G24/12</f>
        <v>75</v>
      </c>
      <c r="D42" s="92" t="s">
        <v>158</v>
      </c>
      <c r="E42" s="106">
        <v>311</v>
      </c>
      <c r="F42" s="92"/>
      <c r="G42" s="93"/>
      <c r="H42" s="5"/>
      <c r="I42" s="93"/>
    </row>
    <row r="43" spans="1:16">
      <c r="B43" s="92" t="s">
        <v>172</v>
      </c>
      <c r="C43" s="104">
        <f>G25/12</f>
        <v>300</v>
      </c>
      <c r="D43" s="92"/>
      <c r="E43" s="106"/>
      <c r="F43" s="92"/>
      <c r="G43" s="93"/>
      <c r="H43" s="5"/>
      <c r="I43" s="93"/>
    </row>
    <row r="44" spans="1:16">
      <c r="B44" s="92" t="s">
        <v>173</v>
      </c>
      <c r="C44" s="104">
        <f>E26/12</f>
        <v>208</v>
      </c>
      <c r="D44" s="92"/>
      <c r="E44" s="106"/>
      <c r="F44" s="92"/>
      <c r="G44" s="93"/>
      <c r="H44" s="5"/>
      <c r="I44" s="93"/>
    </row>
    <row r="45" spans="1:16">
      <c r="B45" s="92" t="s">
        <v>17</v>
      </c>
      <c r="C45" s="104">
        <f>E27/12</f>
        <v>0</v>
      </c>
      <c r="D45" s="92"/>
      <c r="E45" s="106"/>
      <c r="F45" s="92"/>
      <c r="G45" s="93"/>
      <c r="H45" s="5"/>
      <c r="I45" s="93"/>
    </row>
    <row r="46" spans="1:16">
      <c r="B46" s="92" t="s">
        <v>164</v>
      </c>
      <c r="C46" s="105">
        <f>I7</f>
        <v>2181.8765763027441</v>
      </c>
      <c r="D46" s="144" t="s">
        <v>115</v>
      </c>
      <c r="E46" s="145">
        <v>7500</v>
      </c>
      <c r="F46" s="92"/>
      <c r="G46" s="93"/>
      <c r="H46" s="5"/>
      <c r="I46" s="93"/>
    </row>
    <row r="47" spans="1:16">
      <c r="B47" s="92"/>
      <c r="C47" s="106"/>
      <c r="D47" s="92"/>
      <c r="E47" s="106"/>
      <c r="F47" s="92"/>
      <c r="G47" s="93"/>
      <c r="H47" s="5"/>
      <c r="I47" s="93"/>
    </row>
    <row r="48" spans="1:16">
      <c r="B48" s="98" t="s">
        <v>165</v>
      </c>
      <c r="C48" s="107">
        <f>C37-SUM(C39:C46)</f>
        <v>640.45675703058896</v>
      </c>
      <c r="D48" s="110"/>
      <c r="E48" s="38"/>
      <c r="F48" s="92"/>
      <c r="G48" s="93"/>
      <c r="H48" s="5"/>
      <c r="I48" s="93"/>
    </row>
    <row r="49" spans="2:9">
      <c r="B49" s="92"/>
      <c r="C49" s="105"/>
      <c r="D49" s="92"/>
      <c r="E49" s="93"/>
      <c r="F49" s="92"/>
      <c r="G49" s="93"/>
      <c r="H49" s="5"/>
      <c r="I49" s="93"/>
    </row>
    <row r="50" spans="2:9">
      <c r="B50" s="98" t="s">
        <v>166</v>
      </c>
      <c r="C50" s="107">
        <f>C48*12</f>
        <v>7685.4810843670675</v>
      </c>
      <c r="D50" s="111" t="s">
        <v>160</v>
      </c>
      <c r="E50" s="112">
        <f>SUM(E37:E45)-E46</f>
        <v>27945</v>
      </c>
      <c r="F50" s="92"/>
      <c r="G50" s="93"/>
      <c r="H50" s="5"/>
      <c r="I50" s="93"/>
    </row>
    <row r="51" spans="2:9">
      <c r="B51" s="92"/>
      <c r="C51" s="105"/>
      <c r="D51" s="110"/>
      <c r="E51" s="113"/>
      <c r="F51" s="92"/>
      <c r="G51" s="93"/>
      <c r="H51" s="5"/>
      <c r="I51" s="93"/>
    </row>
    <row r="52" spans="2:9">
      <c r="B52" s="92"/>
      <c r="C52" s="105"/>
      <c r="D52" s="110"/>
      <c r="E52" s="113"/>
      <c r="F52" s="92"/>
      <c r="G52" s="93"/>
      <c r="H52" s="5"/>
      <c r="I52" s="93"/>
    </row>
    <row r="53" spans="2:9" ht="15.75" thickBot="1">
      <c r="B53" s="99"/>
      <c r="C53" s="108"/>
      <c r="D53" s="114"/>
      <c r="E53" s="115"/>
      <c r="F53" s="99"/>
      <c r="G53" s="101"/>
      <c r="H53" s="100"/>
      <c r="I53" s="101"/>
    </row>
    <row r="54" spans="2:9">
      <c r="D54" s="29"/>
      <c r="E54" s="30"/>
    </row>
    <row r="55" spans="2:9">
      <c r="D55" s="29"/>
      <c r="E55" s="30"/>
    </row>
    <row r="56" spans="2:9">
      <c r="D56" s="29"/>
      <c r="E56" s="30"/>
    </row>
    <row r="57" spans="2:9">
      <c r="D57" s="29"/>
      <c r="E57" s="30"/>
    </row>
    <row r="58" spans="2:9">
      <c r="D58" s="29"/>
      <c r="E58" s="30"/>
    </row>
    <row r="59" spans="2:9">
      <c r="D59" s="29"/>
      <c r="E59" s="30"/>
    </row>
    <row r="60" spans="2:9">
      <c r="D60" s="29"/>
      <c r="E60" s="30"/>
    </row>
    <row r="61" spans="2:9">
      <c r="D61" s="29"/>
      <c r="E61" s="30"/>
    </row>
    <row r="62" spans="2:9">
      <c r="D62" s="29"/>
      <c r="E62" s="30"/>
    </row>
    <row r="63" spans="2:9">
      <c r="D63" s="29"/>
      <c r="E63" s="30"/>
    </row>
    <row r="64" spans="2:9">
      <c r="D64" s="29"/>
      <c r="E64" s="30"/>
    </row>
    <row r="65" spans="4:5">
      <c r="D65" s="29"/>
      <c r="E65" s="30"/>
    </row>
    <row r="66" spans="4:5">
      <c r="D66" s="29"/>
      <c r="E66" s="30"/>
    </row>
    <row r="67" spans="4:5">
      <c r="D67" s="29"/>
      <c r="E67" s="30"/>
    </row>
    <row r="68" spans="4:5">
      <c r="D68" s="29"/>
      <c r="E68" s="30"/>
    </row>
    <row r="69" spans="4:5">
      <c r="D69" s="29"/>
      <c r="E69" s="30"/>
    </row>
    <row r="70" spans="4:5">
      <c r="D70" s="29"/>
      <c r="E70" s="30"/>
    </row>
    <row r="71" spans="4:5">
      <c r="D71" s="29"/>
      <c r="E71" s="30"/>
    </row>
    <row r="72" spans="4:5">
      <c r="D72" s="29"/>
      <c r="E72" s="30"/>
    </row>
    <row r="73" spans="4:5">
      <c r="D73" s="29"/>
      <c r="E73" s="30"/>
    </row>
    <row r="74" spans="4:5">
      <c r="D74" s="29"/>
      <c r="E74" s="30"/>
    </row>
    <row r="75" spans="4:5">
      <c r="D75" s="29"/>
      <c r="E75" s="30"/>
    </row>
    <row r="76" spans="4:5">
      <c r="D76" s="29"/>
      <c r="E76" s="30"/>
    </row>
    <row r="77" spans="4:5">
      <c r="D77" s="29"/>
      <c r="E77" s="30"/>
    </row>
    <row r="78" spans="4:5">
      <c r="D78" s="29"/>
      <c r="E78" s="30"/>
    </row>
    <row r="79" spans="4:5">
      <c r="D79" s="29"/>
      <c r="E79" s="30"/>
    </row>
    <row r="80" spans="4:5">
      <c r="D80" s="29"/>
      <c r="E80" s="30"/>
    </row>
    <row r="81" spans="4:5">
      <c r="D81" s="29"/>
      <c r="E81" s="30"/>
    </row>
    <row r="82" spans="4:5">
      <c r="D82" s="29"/>
      <c r="E82" s="30"/>
    </row>
    <row r="83" spans="4:5">
      <c r="D83" s="29"/>
      <c r="E83" s="30"/>
    </row>
    <row r="84" spans="4:5">
      <c r="D84" s="29"/>
      <c r="E84" s="30"/>
    </row>
    <row r="85" spans="4:5">
      <c r="D85" s="29"/>
      <c r="E85" s="30"/>
    </row>
    <row r="86" spans="4:5">
      <c r="D86" s="29"/>
      <c r="E86" s="30"/>
    </row>
    <row r="87" spans="4:5">
      <c r="D87" s="29"/>
      <c r="E87" s="30"/>
    </row>
    <row r="88" spans="4:5">
      <c r="D88" s="29"/>
      <c r="E88" s="30"/>
    </row>
    <row r="89" spans="4:5">
      <c r="D89" s="29"/>
      <c r="E89" s="30"/>
    </row>
    <row r="90" spans="4:5">
      <c r="D90" s="29"/>
      <c r="E90" s="30"/>
    </row>
    <row r="91" spans="4:5">
      <c r="D91" s="29"/>
      <c r="E91" s="30"/>
    </row>
    <row r="92" spans="4:5">
      <c r="D92" s="29"/>
      <c r="E92" s="30"/>
    </row>
    <row r="93" spans="4:5">
      <c r="D93" s="29"/>
      <c r="E93" s="30"/>
    </row>
    <row r="94" spans="4:5">
      <c r="D94" s="29"/>
      <c r="E94" s="30"/>
    </row>
    <row r="95" spans="4:5">
      <c r="D95" s="29"/>
      <c r="E95" s="30"/>
    </row>
    <row r="96" spans="4:5">
      <c r="D96" s="29"/>
      <c r="E96" s="30"/>
    </row>
    <row r="97" spans="4:5">
      <c r="D97" s="29"/>
      <c r="E97" s="30"/>
    </row>
    <row r="98" spans="4:5">
      <c r="D98" s="29"/>
      <c r="E98" s="30"/>
    </row>
    <row r="99" spans="4:5">
      <c r="D99" s="29"/>
      <c r="E99" s="30"/>
    </row>
    <row r="100" spans="4:5">
      <c r="D100" s="29"/>
      <c r="E100" s="30"/>
    </row>
    <row r="101" spans="4:5">
      <c r="D101" s="29"/>
      <c r="E101" s="30"/>
    </row>
    <row r="102" spans="4:5">
      <c r="D102" s="29"/>
      <c r="E102" s="30"/>
    </row>
    <row r="103" spans="4:5">
      <c r="D103" s="29"/>
      <c r="E103" s="30"/>
    </row>
    <row r="104" spans="4:5">
      <c r="D104" s="29"/>
      <c r="E104" s="30"/>
    </row>
    <row r="105" spans="4:5">
      <c r="D105" s="29"/>
      <c r="E105" s="30"/>
    </row>
    <row r="106" spans="4:5">
      <c r="D106" s="29"/>
      <c r="E106" s="30"/>
    </row>
    <row r="107" spans="4:5">
      <c r="D107" s="29"/>
      <c r="E107" s="30"/>
    </row>
    <row r="108" spans="4:5">
      <c r="D108" s="29"/>
      <c r="E108" s="30"/>
    </row>
    <row r="109" spans="4:5">
      <c r="D109" s="29"/>
      <c r="E109" s="30"/>
    </row>
    <row r="110" spans="4:5">
      <c r="D110" s="29"/>
      <c r="E110" s="30"/>
    </row>
    <row r="111" spans="4:5">
      <c r="D111" s="29"/>
      <c r="E111" s="30"/>
    </row>
    <row r="112" spans="4:5">
      <c r="D112" s="29"/>
      <c r="E112" s="30"/>
    </row>
    <row r="113" spans="4:5">
      <c r="D113" s="29"/>
      <c r="E113" s="30"/>
    </row>
    <row r="114" spans="4:5">
      <c r="D114" s="29"/>
      <c r="E114" s="30"/>
    </row>
    <row r="115" spans="4:5">
      <c r="D115" s="29"/>
      <c r="E115" s="30"/>
    </row>
    <row r="116" spans="4:5">
      <c r="D116" s="29"/>
      <c r="E116" s="30"/>
    </row>
    <row r="117" spans="4:5">
      <c r="D117" s="29"/>
      <c r="E117" s="30"/>
    </row>
    <row r="118" spans="4:5">
      <c r="D118" s="29"/>
      <c r="E118" s="30"/>
    </row>
    <row r="119" spans="4:5">
      <c r="D119" s="29"/>
      <c r="E119" s="30"/>
    </row>
    <row r="120" spans="4:5">
      <c r="D120" s="29"/>
      <c r="E120" s="30"/>
    </row>
    <row r="121" spans="4:5">
      <c r="D121" s="29"/>
      <c r="E121" s="30"/>
    </row>
    <row r="122" spans="4:5">
      <c r="D122" s="29"/>
      <c r="E122" s="30"/>
    </row>
    <row r="123" spans="4:5">
      <c r="D123" s="29"/>
      <c r="E123" s="30"/>
    </row>
    <row r="124" spans="4:5">
      <c r="D124" s="29"/>
      <c r="E124" s="30"/>
    </row>
    <row r="125" spans="4:5">
      <c r="D125" s="29"/>
      <c r="E125" s="30"/>
    </row>
    <row r="126" spans="4:5">
      <c r="D126" s="29"/>
      <c r="E126" s="30"/>
    </row>
    <row r="127" spans="4:5">
      <c r="D127" s="29"/>
      <c r="E127" s="30"/>
    </row>
    <row r="128" spans="4:5">
      <c r="D128" s="29"/>
      <c r="E128" s="30"/>
    </row>
    <row r="129" spans="4:5">
      <c r="D129" s="29"/>
      <c r="E129" s="30"/>
    </row>
    <row r="130" spans="4:5">
      <c r="D130" s="29"/>
      <c r="E130" s="30"/>
    </row>
    <row r="131" spans="4:5">
      <c r="D131" s="29"/>
      <c r="E131" s="30"/>
    </row>
    <row r="132" spans="4:5">
      <c r="D132" s="29"/>
      <c r="E132" s="30"/>
    </row>
    <row r="133" spans="4:5">
      <c r="D133" s="29"/>
      <c r="E133" s="30"/>
    </row>
    <row r="134" spans="4:5">
      <c r="D134" s="29"/>
      <c r="E134" s="30"/>
    </row>
    <row r="135" spans="4:5">
      <c r="D135" s="29"/>
      <c r="E135" s="30"/>
    </row>
  </sheetData>
  <mergeCells count="10">
    <mergeCell ref="C2:H2"/>
    <mergeCell ref="B4:C4"/>
    <mergeCell ref="D4:E4"/>
    <mergeCell ref="H4:I4"/>
    <mergeCell ref="J4:K4"/>
    <mergeCell ref="C35:H35"/>
    <mergeCell ref="F4:G4"/>
    <mergeCell ref="F20:G20"/>
    <mergeCell ref="D20:E20"/>
    <mergeCell ref="B20:C20"/>
  </mergeCells>
  <conditionalFormatting sqref="B20 B5:C5 B8:C16 B18:C19 B21:C32 D5:K30">
    <cfRule type="expression" dxfId="1" priority="2" stopIfTrue="1">
      <formula>IF(B5&lt;0, TRUE, FALSE)</formula>
    </cfRule>
  </conditionalFormatting>
  <pageMargins left="0.38" right="0.1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9"/>
  <sheetViews>
    <sheetView workbookViewId="0">
      <selection activeCell="D10" sqref="D10"/>
    </sheetView>
  </sheetViews>
  <sheetFormatPr defaultRowHeight="15"/>
  <cols>
    <col min="1" max="1" width="19.5703125" bestFit="1" customWidth="1"/>
    <col min="2" max="2" width="20" customWidth="1"/>
    <col min="3" max="4" width="18.42578125" customWidth="1"/>
    <col min="5" max="5" width="12.7109375" customWidth="1"/>
    <col min="6" max="6" width="16.28515625" bestFit="1" customWidth="1"/>
    <col min="7" max="8" width="22.28515625" customWidth="1"/>
    <col min="9" max="9" width="30" customWidth="1"/>
    <col min="10" max="10" width="13.7109375" bestFit="1" customWidth="1"/>
    <col min="11" max="11" width="12.42578125" bestFit="1" customWidth="1"/>
    <col min="12" max="13" width="18.42578125" bestFit="1" customWidth="1"/>
    <col min="14" max="14" width="19.42578125" bestFit="1" customWidth="1"/>
    <col min="16" max="16" width="10.5703125" bestFit="1" customWidth="1"/>
    <col min="17" max="17" width="11.5703125" bestFit="1" customWidth="1"/>
    <col min="18" max="18" width="10.5703125" bestFit="1" customWidth="1"/>
    <col min="19" max="19" width="12.5703125" bestFit="1" customWidth="1"/>
    <col min="20" max="20" width="10.5703125" bestFit="1" customWidth="1"/>
  </cols>
  <sheetData>
    <row r="2" spans="1:21">
      <c r="A2" s="13" t="s">
        <v>2</v>
      </c>
      <c r="B2" t="s">
        <v>32</v>
      </c>
      <c r="C2" s="48">
        <f>Rent_Calc!C5</f>
        <v>460000</v>
      </c>
      <c r="D2" s="48"/>
    </row>
    <row r="3" spans="1:21">
      <c r="A3" s="13" t="s">
        <v>3</v>
      </c>
      <c r="B3" s="47">
        <f>Rent_Calc!C8</f>
        <v>0.05</v>
      </c>
      <c r="C3" s="48">
        <f>C2*B3</f>
        <v>23000</v>
      </c>
      <c r="D3" s="48"/>
    </row>
    <row r="4" spans="1:21">
      <c r="A4" s="41" t="s">
        <v>8</v>
      </c>
      <c r="B4" s="47">
        <f>Rent_Calc!C18</f>
        <v>4.3749999999999997E-2</v>
      </c>
    </row>
    <row r="5" spans="1:21">
      <c r="A5" s="41" t="s">
        <v>9</v>
      </c>
      <c r="B5" s="47">
        <f>Rent_Calc!C19</f>
        <v>3.7499999999999999E-2</v>
      </c>
    </row>
    <row r="6" spans="1:21">
      <c r="C6" s="50" t="s">
        <v>30</v>
      </c>
      <c r="D6" s="50" t="s">
        <v>39</v>
      </c>
      <c r="J6" s="50" t="s">
        <v>30</v>
      </c>
      <c r="K6" s="50" t="s">
        <v>39</v>
      </c>
    </row>
    <row r="7" spans="1:21">
      <c r="B7">
        <v>30</v>
      </c>
      <c r="C7" s="51">
        <f>-PMT(B4/12, B7*12, C2-C3)</f>
        <v>2181.8765763027441</v>
      </c>
      <c r="D7" s="51">
        <f>C7*12</f>
        <v>26182.518915632929</v>
      </c>
      <c r="I7">
        <v>15</v>
      </c>
      <c r="J7" s="51">
        <f>-PMT(B4/12, I7*12, C2-C3)</f>
        <v>3315.1708870562416</v>
      </c>
      <c r="K7" s="51">
        <f>J7*12</f>
        <v>39782.050644674899</v>
      </c>
    </row>
    <row r="8" spans="1:21">
      <c r="B8" s="50" t="s">
        <v>29</v>
      </c>
      <c r="I8" s="50" t="s">
        <v>38</v>
      </c>
    </row>
    <row r="9" spans="1:21">
      <c r="A9" t="s">
        <v>51</v>
      </c>
      <c r="B9" t="s">
        <v>31</v>
      </c>
      <c r="C9" t="s">
        <v>35</v>
      </c>
      <c r="D9" t="s">
        <v>33</v>
      </c>
      <c r="E9" t="s">
        <v>34</v>
      </c>
      <c r="F9" t="s">
        <v>36</v>
      </c>
      <c r="G9" t="s">
        <v>37</v>
      </c>
      <c r="I9" t="s">
        <v>31</v>
      </c>
      <c r="J9" t="s">
        <v>35</v>
      </c>
      <c r="K9" t="s">
        <v>33</v>
      </c>
      <c r="L9" t="s">
        <v>34</v>
      </c>
      <c r="M9" t="s">
        <v>36</v>
      </c>
      <c r="N9" t="s">
        <v>37</v>
      </c>
    </row>
    <row r="10" spans="1:21">
      <c r="A10">
        <v>1</v>
      </c>
      <c r="B10" s="49">
        <f>-CUMIPMT($B$4/12,12*$B$7, $C$2-$C$3, B60, C60, 0)</f>
        <v>18975.37115446795</v>
      </c>
      <c r="C10" s="49">
        <f>B10</f>
        <v>18975.37115446795</v>
      </c>
      <c r="D10" s="49">
        <f>-CUMPRINC($B$4/12, 12*$B$7, $C$2-$C$3, B60, C60, 0)</f>
        <v>7207.1477611649798</v>
      </c>
      <c r="E10" s="49">
        <f>D10</f>
        <v>7207.1477611649798</v>
      </c>
      <c r="F10" s="49">
        <f>B10+D10</f>
        <v>26182.518915632929</v>
      </c>
      <c r="G10" s="46">
        <f>D10/F10</f>
        <v>0.27526563751900018</v>
      </c>
      <c r="H10" s="46"/>
      <c r="I10" s="49">
        <f>-CUMIPMT($B$5/12, $I$7*12, $C$2-$C$3, B60,C60, 0)</f>
        <v>16009.784270551296</v>
      </c>
      <c r="J10" s="49">
        <f>I10</f>
        <v>16009.784270551296</v>
      </c>
      <c r="K10" s="49">
        <f>-CUMPRINC($B$4/12, $I$7*12, $C$2-$C$3, B60, C60,0)</f>
        <v>21082.719828215624</v>
      </c>
      <c r="L10" s="49">
        <f>K10</f>
        <v>21082.719828215624</v>
      </c>
      <c r="M10" s="48">
        <f>K10+I10</f>
        <v>37092.50409876692</v>
      </c>
      <c r="N10" s="46">
        <f>K10/M10</f>
        <v>0.56838222008625416</v>
      </c>
      <c r="P10" s="49"/>
      <c r="Q10" s="49"/>
      <c r="R10" s="49"/>
      <c r="S10" s="49"/>
      <c r="T10" s="49"/>
      <c r="U10" s="46"/>
    </row>
    <row r="11" spans="1:21">
      <c r="A11">
        <v>2</v>
      </c>
      <c r="B11" s="49">
        <f t="shared" ref="B11:B39" si="0">-CUMIPMT($B$4/12,12*$B$7, $C$2-$C$3, B61, C61, 0)</f>
        <v>18653.658290997351</v>
      </c>
      <c r="C11" s="49">
        <f>C10+B11</f>
        <v>37629.029445465305</v>
      </c>
      <c r="D11" s="49">
        <f t="shared" ref="D11:D39" si="1">-CUMPRINC($B$4/12, 12*$B$7, $C$2-$C$3, B61, C61, 0)</f>
        <v>7528.8606246355766</v>
      </c>
      <c r="E11" s="49">
        <f>E10+D11</f>
        <v>14736.008385800556</v>
      </c>
      <c r="F11" s="49">
        <f t="shared" ref="F11:F39" si="2">B11+D11</f>
        <v>26182.518915632929</v>
      </c>
      <c r="G11" s="46">
        <f t="shared" ref="G11:G39" si="3">D11/F11</f>
        <v>0.28755295275048121</v>
      </c>
      <c r="H11" s="46"/>
      <c r="I11" s="49">
        <f t="shared" ref="I11:I24" si="4">-CUMIPMT($B$5/12, $I$7*12, $C$2-$C$3, B61,C61, 0)</f>
        <v>15165.657903909385</v>
      </c>
      <c r="J11" s="49">
        <f>J10+I11</f>
        <v>31175.442174460681</v>
      </c>
      <c r="K11" s="49">
        <f t="shared" ref="K11:K24" si="5">-CUMPRINC($B$4/12, $I$7*12, $C$2-$C$3, B61, C61,0)</f>
        <v>22023.810865953306</v>
      </c>
      <c r="L11" s="49">
        <f>L10+K11</f>
        <v>43106.530694168934</v>
      </c>
      <c r="M11" s="48">
        <f t="shared" ref="M11:M24" si="6">K11+I11</f>
        <v>37189.468769862695</v>
      </c>
      <c r="N11" s="46">
        <f t="shared" ref="N11:N24" si="7">K11/M11</f>
        <v>0.59220557847281718</v>
      </c>
      <c r="P11" s="49"/>
      <c r="Q11" s="49"/>
      <c r="R11" s="49"/>
      <c r="S11" s="49"/>
      <c r="T11" s="49"/>
      <c r="U11" s="46"/>
    </row>
    <row r="12" spans="1:21">
      <c r="A12">
        <v>3</v>
      </c>
      <c r="B12" s="49">
        <f t="shared" si="0"/>
        <v>18317.584799723321</v>
      </c>
      <c r="C12" s="49">
        <f t="shared" ref="C12:C39" si="8">C11+B12</f>
        <v>55946.614245188626</v>
      </c>
      <c r="D12" s="49">
        <f t="shared" si="1"/>
        <v>7864.9341159096075</v>
      </c>
      <c r="E12" s="49">
        <f t="shared" ref="E12:E39" si="9">E11+D12</f>
        <v>22600.942501710164</v>
      </c>
      <c r="F12" s="49">
        <f t="shared" si="2"/>
        <v>26182.518915632929</v>
      </c>
      <c r="G12" s="46">
        <f t="shared" si="3"/>
        <v>0.30038874950315231</v>
      </c>
      <c r="H12" s="46"/>
      <c r="I12" s="49">
        <f t="shared" si="4"/>
        <v>14289.327025295293</v>
      </c>
      <c r="J12" s="49">
        <f t="shared" ref="J12:J24" si="10">J11+I12</f>
        <v>45464.769199755974</v>
      </c>
      <c r="K12" s="49">
        <f t="shared" si="5"/>
        <v>23006.910351772003</v>
      </c>
      <c r="L12" s="49">
        <f t="shared" ref="L12:L24" si="11">L11+K12</f>
        <v>66113.441045940941</v>
      </c>
      <c r="M12" s="48">
        <f t="shared" si="6"/>
        <v>37296.2373770673</v>
      </c>
      <c r="N12" s="46">
        <f t="shared" si="7"/>
        <v>0.61686947450410867</v>
      </c>
      <c r="P12" s="49"/>
      <c r="Q12" s="49"/>
      <c r="R12" s="49"/>
      <c r="S12" s="49"/>
      <c r="T12" s="49"/>
      <c r="U12" s="46"/>
    </row>
    <row r="13" spans="1:21">
      <c r="A13">
        <v>4</v>
      </c>
      <c r="B13" s="49">
        <f t="shared" si="0"/>
        <v>17966.509650540051</v>
      </c>
      <c r="C13" s="49">
        <f t="shared" si="8"/>
        <v>73913.12389572867</v>
      </c>
      <c r="D13" s="49">
        <f t="shared" si="1"/>
        <v>8216.0092650928764</v>
      </c>
      <c r="E13" s="49">
        <f t="shared" si="9"/>
        <v>30816.951766803038</v>
      </c>
      <c r="F13" s="49">
        <f t="shared" si="2"/>
        <v>26182.518915632929</v>
      </c>
      <c r="G13" s="46">
        <f t="shared" si="3"/>
        <v>0.31379751091050684</v>
      </c>
      <c r="H13" s="46"/>
      <c r="I13" s="49">
        <f t="shared" si="4"/>
        <v>13379.562990950992</v>
      </c>
      <c r="J13" s="49">
        <f t="shared" si="10"/>
        <v>58844.332190706962</v>
      </c>
      <c r="K13" s="49">
        <f t="shared" si="5"/>
        <v>24033.893459952855</v>
      </c>
      <c r="L13" s="49">
        <f t="shared" si="11"/>
        <v>90147.334505893799</v>
      </c>
      <c r="M13" s="48">
        <f t="shared" si="6"/>
        <v>37413.456450903846</v>
      </c>
      <c r="N13" s="46">
        <f t="shared" si="7"/>
        <v>0.6423863427719263</v>
      </c>
      <c r="P13" s="49"/>
      <c r="Q13" s="49"/>
      <c r="R13" s="49"/>
      <c r="S13" s="49"/>
      <c r="T13" s="49"/>
      <c r="U13" s="46"/>
    </row>
    <row r="14" spans="1:21">
      <c r="A14">
        <v>5</v>
      </c>
      <c r="B14" s="49">
        <f t="shared" si="0"/>
        <v>17599.763199021938</v>
      </c>
      <c r="C14" s="49">
        <f t="shared" si="8"/>
        <v>91512.887094750608</v>
      </c>
      <c r="D14" s="49">
        <f t="shared" si="1"/>
        <v>8582.7557166109927</v>
      </c>
      <c r="E14" s="49">
        <f t="shared" si="9"/>
        <v>39399.707483414029</v>
      </c>
      <c r="F14" s="49">
        <f t="shared" si="2"/>
        <v>26182.518915632929</v>
      </c>
      <c r="G14" s="46">
        <f t="shared" si="3"/>
        <v>0.32780481298483638</v>
      </c>
      <c r="H14" s="46"/>
      <c r="I14" s="49">
        <f t="shared" si="4"/>
        <v>12435.090282770976</v>
      </c>
      <c r="J14" s="49">
        <f t="shared" si="10"/>
        <v>71279.422473477942</v>
      </c>
      <c r="K14" s="49">
        <f t="shared" si="5"/>
        <v>25106.719068859042</v>
      </c>
      <c r="L14" s="49">
        <f t="shared" si="11"/>
        <v>115254.05357475285</v>
      </c>
      <c r="M14" s="48">
        <f t="shared" si="6"/>
        <v>37541.809351630014</v>
      </c>
      <c r="N14" s="46">
        <f t="shared" si="7"/>
        <v>0.66876688956838848</v>
      </c>
      <c r="P14" s="49"/>
      <c r="Q14" s="49"/>
      <c r="R14" s="49"/>
      <c r="S14" s="49"/>
      <c r="T14" s="49"/>
      <c r="U14" s="46"/>
    </row>
    <row r="15" spans="1:21">
      <c r="A15">
        <v>6</v>
      </c>
      <c r="B15" s="49">
        <f t="shared" si="0"/>
        <v>17216.645909136758</v>
      </c>
      <c r="C15" s="49">
        <f t="shared" si="8"/>
        <v>108729.53300388737</v>
      </c>
      <c r="D15" s="49">
        <f t="shared" si="1"/>
        <v>8965.873006496171</v>
      </c>
      <c r="E15" s="49">
        <f t="shared" si="9"/>
        <v>48365.5804899102</v>
      </c>
      <c r="F15" s="49">
        <f t="shared" si="2"/>
        <v>26182.518915632929</v>
      </c>
      <c r="G15" s="46">
        <f t="shared" si="3"/>
        <v>0.34243737340118457</v>
      </c>
      <c r="H15" s="46"/>
      <c r="I15" s="49">
        <f t="shared" si="4"/>
        <v>11454.584719985338</v>
      </c>
      <c r="J15" s="49">
        <f t="shared" si="10"/>
        <v>82734.007193463272</v>
      </c>
      <c r="K15" s="49">
        <f t="shared" si="5"/>
        <v>26227.433497320941</v>
      </c>
      <c r="L15" s="49">
        <f t="shared" si="11"/>
        <v>141481.4870720738</v>
      </c>
      <c r="M15" s="48">
        <f t="shared" si="6"/>
        <v>37682.018217306279</v>
      </c>
      <c r="N15" s="46">
        <f t="shared" si="7"/>
        <v>0.69601987202679683</v>
      </c>
      <c r="P15" s="49"/>
      <c r="Q15" s="49"/>
      <c r="R15" s="49"/>
      <c r="S15" s="49"/>
      <c r="T15" s="49"/>
      <c r="U15" s="46"/>
    </row>
    <row r="16" spans="1:21">
      <c r="A16">
        <v>7</v>
      </c>
      <c r="B16" s="49">
        <f t="shared" si="0"/>
        <v>16816.427018943315</v>
      </c>
      <c r="C16" s="49">
        <f t="shared" si="8"/>
        <v>125545.96002283068</v>
      </c>
      <c r="D16" s="49">
        <f t="shared" si="1"/>
        <v>9366.0918966896115</v>
      </c>
      <c r="E16" s="49">
        <f t="shared" si="9"/>
        <v>57731.672386599814</v>
      </c>
      <c r="F16" s="49">
        <f t="shared" si="2"/>
        <v>26182.518915632929</v>
      </c>
      <c r="G16" s="46">
        <f t="shared" si="3"/>
        <v>0.35772310245892164</v>
      </c>
      <c r="H16" s="46"/>
      <c r="I16" s="49">
        <f t="shared" si="4"/>
        <v>10436.671602616221</v>
      </c>
      <c r="J16" s="49">
        <f t="shared" si="10"/>
        <v>93170.67879607949</v>
      </c>
      <c r="K16" s="49">
        <f t="shared" si="5"/>
        <v>27398.174407806149</v>
      </c>
      <c r="L16" s="49">
        <f t="shared" si="11"/>
        <v>168879.66147987996</v>
      </c>
      <c r="M16" s="48">
        <f t="shared" si="6"/>
        <v>37834.84601042237</v>
      </c>
      <c r="N16" s="46">
        <f t="shared" si="7"/>
        <v>0.72415186783788599</v>
      </c>
      <c r="P16" s="49"/>
      <c r="Q16" s="49"/>
      <c r="R16" s="49"/>
      <c r="S16" s="49"/>
      <c r="T16" s="49"/>
      <c r="U16" s="46"/>
    </row>
    <row r="17" spans="1:21">
      <c r="A17">
        <v>8</v>
      </c>
      <c r="B17" s="49">
        <f t="shared" si="0"/>
        <v>16398.343146728424</v>
      </c>
      <c r="C17" s="49">
        <f t="shared" si="8"/>
        <v>141944.30316955911</v>
      </c>
      <c r="D17" s="49">
        <f t="shared" si="1"/>
        <v>9784.1757689045062</v>
      </c>
      <c r="E17" s="49">
        <f t="shared" si="9"/>
        <v>67515.848155504325</v>
      </c>
      <c r="F17" s="49">
        <f t="shared" si="2"/>
        <v>26182.518915632929</v>
      </c>
      <c r="G17" s="46">
        <f t="shared" si="3"/>
        <v>0.37369115631814243</v>
      </c>
      <c r="H17" s="46"/>
      <c r="I17" s="49">
        <f t="shared" si="4"/>
        <v>9379.9237841047034</v>
      </c>
      <c r="J17" s="49">
        <f t="shared" si="10"/>
        <v>102550.60258018419</v>
      </c>
      <c r="K17" s="49">
        <f t="shared" si="5"/>
        <v>28621.174883819334</v>
      </c>
      <c r="L17" s="49">
        <f t="shared" si="11"/>
        <v>197500.83636369929</v>
      </c>
      <c r="M17" s="48">
        <f t="shared" si="6"/>
        <v>38001.098667924038</v>
      </c>
      <c r="N17" s="46">
        <f t="shared" si="7"/>
        <v>0.75316703693037934</v>
      </c>
      <c r="P17" s="49"/>
      <c r="Q17" s="49"/>
      <c r="R17" s="49"/>
      <c r="S17" s="49"/>
      <c r="T17" s="49"/>
      <c r="U17" s="46"/>
    </row>
    <row r="18" spans="1:21">
      <c r="A18">
        <v>9</v>
      </c>
      <c r="B18" s="49">
        <f t="shared" si="0"/>
        <v>15961.59683492461</v>
      </c>
      <c r="C18" s="49">
        <f t="shared" si="8"/>
        <v>157905.9000044837</v>
      </c>
      <c r="D18" s="49">
        <f t="shared" si="1"/>
        <v>10220.922080708318</v>
      </c>
      <c r="E18" s="49">
        <f t="shared" si="9"/>
        <v>77736.770236212644</v>
      </c>
      <c r="F18" s="49">
        <f t="shared" si="2"/>
        <v>26182.518915632929</v>
      </c>
      <c r="G18" s="46">
        <f t="shared" si="3"/>
        <v>0.39037199261243199</v>
      </c>
      <c r="H18" s="46"/>
      <c r="I18" s="49">
        <f t="shared" si="4"/>
        <v>8282.8596704060037</v>
      </c>
      <c r="J18" s="49">
        <f t="shared" si="10"/>
        <v>110833.46225059019</v>
      </c>
      <c r="K18" s="49">
        <f t="shared" si="5"/>
        <v>29898.767689309127</v>
      </c>
      <c r="L18" s="49">
        <f t="shared" si="11"/>
        <v>227399.60405300843</v>
      </c>
      <c r="M18" s="48">
        <f t="shared" si="6"/>
        <v>38181.62735971513</v>
      </c>
      <c r="N18" s="46">
        <f t="shared" si="7"/>
        <v>0.78306687684178888</v>
      </c>
      <c r="P18" s="49"/>
      <c r="Q18" s="49"/>
      <c r="R18" s="49"/>
      <c r="S18" s="49"/>
      <c r="T18" s="49"/>
      <c r="U18" s="46"/>
    </row>
    <row r="19" spans="1:21">
      <c r="A19">
        <v>10</v>
      </c>
      <c r="B19" s="49">
        <f t="shared" si="0"/>
        <v>15505.355029031209</v>
      </c>
      <c r="C19" s="49">
        <f t="shared" si="8"/>
        <v>173411.2550335149</v>
      </c>
      <c r="D19" s="49">
        <f t="shared" si="1"/>
        <v>10677.16388660172</v>
      </c>
      <c r="E19" s="49">
        <f t="shared" si="9"/>
        <v>88413.93412281436</v>
      </c>
      <c r="F19" s="49">
        <f t="shared" si="2"/>
        <v>26182.518915632929</v>
      </c>
      <c r="G19" s="46">
        <f t="shared" si="3"/>
        <v>0.40779742854407536</v>
      </c>
      <c r="H19" s="46"/>
      <c r="I19" s="49">
        <f t="shared" si="4"/>
        <v>7143.9411427474406</v>
      </c>
      <c r="J19" s="49">
        <f t="shared" si="10"/>
        <v>117977.40339333763</v>
      </c>
      <c r="K19" s="49">
        <f t="shared" si="5"/>
        <v>31233.389718206585</v>
      </c>
      <c r="L19" s="49">
        <f t="shared" si="11"/>
        <v>258632.99377121503</v>
      </c>
      <c r="M19" s="48">
        <f t="shared" si="6"/>
        <v>38377.330860954025</v>
      </c>
      <c r="N19" s="46">
        <f t="shared" si="7"/>
        <v>0.81384997386527869</v>
      </c>
      <c r="P19" s="49"/>
      <c r="Q19" s="49"/>
      <c r="R19" s="49"/>
      <c r="S19" s="49"/>
      <c r="T19" s="49"/>
      <c r="U19" s="46"/>
    </row>
    <row r="20" spans="1:21">
      <c r="A20">
        <v>11</v>
      </c>
      <c r="B20" s="49">
        <f t="shared" si="0"/>
        <v>15028.747488637413</v>
      </c>
      <c r="C20" s="49">
        <f t="shared" si="8"/>
        <v>188440.00252215232</v>
      </c>
      <c r="D20" s="49">
        <f t="shared" si="1"/>
        <v>11153.771426995516</v>
      </c>
      <c r="E20" s="49">
        <f t="shared" si="9"/>
        <v>99567.705549809878</v>
      </c>
      <c r="F20" s="49">
        <f t="shared" si="2"/>
        <v>26182.518915632929</v>
      </c>
      <c r="G20" s="46">
        <f t="shared" si="3"/>
        <v>0.42600070157252429</v>
      </c>
      <c r="H20" s="46"/>
      <c r="I20" s="49">
        <f t="shared" si="4"/>
        <v>5961.5714011370801</v>
      </c>
      <c r="J20" s="49">
        <f t="shared" si="10"/>
        <v>123938.97479447472</v>
      </c>
      <c r="K20" s="49">
        <f t="shared" si="5"/>
        <v>32627.586642582275</v>
      </c>
      <c r="L20" s="49">
        <f t="shared" si="11"/>
        <v>291260.58041379729</v>
      </c>
      <c r="M20" s="48">
        <f t="shared" si="6"/>
        <v>38589.158043719355</v>
      </c>
      <c r="N20" s="46">
        <f t="shared" si="7"/>
        <v>0.8455117524361907</v>
      </c>
      <c r="P20" s="49"/>
      <c r="Q20" s="49"/>
      <c r="R20" s="49"/>
      <c r="S20" s="49"/>
      <c r="T20" s="49"/>
      <c r="U20" s="46"/>
    </row>
    <row r="21" spans="1:21">
      <c r="A21">
        <v>12</v>
      </c>
      <c r="B21" s="49">
        <f t="shared" si="0"/>
        <v>14530.865127516621</v>
      </c>
      <c r="C21" s="49">
        <f t="shared" si="8"/>
        <v>202970.86764966894</v>
      </c>
      <c r="D21" s="49">
        <f t="shared" si="1"/>
        <v>11651.653788116308</v>
      </c>
      <c r="E21" s="49">
        <f t="shared" si="9"/>
        <v>111219.35933792619</v>
      </c>
      <c r="F21" s="49">
        <f t="shared" si="2"/>
        <v>26182.518915632929</v>
      </c>
      <c r="G21" s="46">
        <f t="shared" si="3"/>
        <v>0.44501653281187531</v>
      </c>
      <c r="H21" s="46"/>
      <c r="I21" s="49">
        <f t="shared" si="4"/>
        <v>4734.0927255993083</v>
      </c>
      <c r="J21" s="49">
        <f t="shared" si="10"/>
        <v>128673.06752007402</v>
      </c>
      <c r="K21" s="49">
        <f t="shared" si="5"/>
        <v>34084.017768287871</v>
      </c>
      <c r="L21" s="49">
        <f t="shared" si="11"/>
        <v>325344.59818208514</v>
      </c>
      <c r="M21" s="48">
        <f t="shared" si="6"/>
        <v>38818.110493887179</v>
      </c>
      <c r="N21" s="46">
        <f t="shared" si="7"/>
        <v>0.87804422561101214</v>
      </c>
      <c r="P21" s="49"/>
      <c r="Q21" s="49"/>
      <c r="R21" s="49"/>
      <c r="S21" s="49"/>
      <c r="T21" s="49"/>
      <c r="U21" s="46"/>
    </row>
    <row r="22" spans="1:21">
      <c r="A22">
        <v>13</v>
      </c>
      <c r="B22" s="49">
        <f t="shared" si="0"/>
        <v>14010.758279625798</v>
      </c>
      <c r="C22" s="49">
        <f t="shared" si="8"/>
        <v>216981.62592929474</v>
      </c>
      <c r="D22" s="49">
        <f t="shared" si="1"/>
        <v>12171.760636007131</v>
      </c>
      <c r="E22" s="49">
        <f t="shared" si="9"/>
        <v>123391.11997393332</v>
      </c>
      <c r="F22" s="49">
        <f t="shared" si="2"/>
        <v>26182.518915632929</v>
      </c>
      <c r="G22" s="46">
        <f t="shared" si="3"/>
        <v>0.46488119325828797</v>
      </c>
      <c r="H22" s="46"/>
      <c r="I22" s="49">
        <f t="shared" si="4"/>
        <v>3459.784151998756</v>
      </c>
      <c r="J22" s="49">
        <f t="shared" si="10"/>
        <v>132132.85167207278</v>
      </c>
      <c r="K22" s="49">
        <f t="shared" si="5"/>
        <v>35605.461107344119</v>
      </c>
      <c r="L22" s="49">
        <f t="shared" si="11"/>
        <v>360950.05928942928</v>
      </c>
      <c r="M22" s="48">
        <f t="shared" si="6"/>
        <v>39065.245259342875</v>
      </c>
      <c r="N22" s="46">
        <f t="shared" si="7"/>
        <v>0.91143574988380982</v>
      </c>
      <c r="P22" s="49"/>
      <c r="Q22" s="49"/>
      <c r="R22" s="49"/>
      <c r="S22" s="49"/>
      <c r="T22" s="49"/>
      <c r="U22" s="46"/>
    </row>
    <row r="23" spans="1:21">
      <c r="A23">
        <v>14</v>
      </c>
      <c r="B23" s="49">
        <f t="shared" si="0"/>
        <v>13467.434887702502</v>
      </c>
      <c r="C23" s="49">
        <f t="shared" si="8"/>
        <v>230449.06081699723</v>
      </c>
      <c r="D23" s="49">
        <f t="shared" si="1"/>
        <v>12715.084027930427</v>
      </c>
      <c r="E23" s="49">
        <f t="shared" si="9"/>
        <v>136106.20400186375</v>
      </c>
      <c r="F23" s="49">
        <f t="shared" si="2"/>
        <v>26182.518915632929</v>
      </c>
      <c r="G23" s="46">
        <f t="shared" si="3"/>
        <v>0.48563257297366325</v>
      </c>
      <c r="H23" s="46"/>
      <c r="I23" s="49">
        <f t="shared" si="4"/>
        <v>2136.8590591938191</v>
      </c>
      <c r="J23" s="49">
        <f t="shared" si="10"/>
        <v>134269.71073126659</v>
      </c>
      <c r="K23" s="49">
        <f t="shared" si="5"/>
        <v>37194.818676750059</v>
      </c>
      <c r="L23" s="49">
        <f t="shared" si="11"/>
        <v>398144.87796617934</v>
      </c>
      <c r="M23" s="48">
        <f t="shared" si="6"/>
        <v>39331.677735943878</v>
      </c>
      <c r="N23" s="46">
        <f t="shared" si="7"/>
        <v>0.94567078797045523</v>
      </c>
      <c r="P23" s="49"/>
      <c r="Q23" s="49"/>
      <c r="R23" s="49"/>
      <c r="S23" s="49"/>
      <c r="T23" s="49"/>
      <c r="U23" s="46"/>
    </row>
    <row r="24" spans="1:21">
      <c r="A24">
        <v>15</v>
      </c>
      <c r="B24" s="49">
        <f t="shared" si="0"/>
        <v>12899.858611004449</v>
      </c>
      <c r="C24" s="49">
        <f t="shared" si="8"/>
        <v>243348.91942800168</v>
      </c>
      <c r="D24" s="49">
        <f t="shared" si="1"/>
        <v>13282.66030462848</v>
      </c>
      <c r="E24" s="49">
        <f t="shared" si="9"/>
        <v>149388.86430649224</v>
      </c>
      <c r="F24" s="49">
        <f t="shared" si="2"/>
        <v>26182.518915632929</v>
      </c>
      <c r="G24" s="46">
        <f t="shared" si="3"/>
        <v>0.50731025335754598</v>
      </c>
      <c r="H24" s="46"/>
      <c r="I24" s="49">
        <f t="shared" si="4"/>
        <v>763.46266413704143</v>
      </c>
      <c r="J24" s="49">
        <f t="shared" si="10"/>
        <v>135033.17339540363</v>
      </c>
      <c r="K24" s="49">
        <f t="shared" si="5"/>
        <v>38855.122033820771</v>
      </c>
      <c r="L24" s="49">
        <f t="shared" si="11"/>
        <v>437000.00000000012</v>
      </c>
      <c r="M24" s="48">
        <f t="shared" si="6"/>
        <v>39618.584697957813</v>
      </c>
      <c r="N24" s="46">
        <f t="shared" si="7"/>
        <v>0.98072968355741408</v>
      </c>
      <c r="P24" s="49"/>
      <c r="Q24" s="49"/>
      <c r="R24" s="49"/>
      <c r="S24" s="49"/>
      <c r="T24" s="49"/>
      <c r="U24" s="46"/>
    </row>
    <row r="25" spans="1:21">
      <c r="A25">
        <v>16</v>
      </c>
      <c r="B25" s="49">
        <f t="shared" si="0"/>
        <v>12306.946848582287</v>
      </c>
      <c r="C25" s="49">
        <f t="shared" si="8"/>
        <v>255655.86627658398</v>
      </c>
      <c r="D25" s="49">
        <f t="shared" si="1"/>
        <v>13875.572067050642</v>
      </c>
      <c r="E25" s="49">
        <f t="shared" si="9"/>
        <v>163264.43637354288</v>
      </c>
      <c r="F25" s="49">
        <f t="shared" si="2"/>
        <v>26182.518915632929</v>
      </c>
      <c r="G25" s="46">
        <f t="shared" si="3"/>
        <v>0.52995558264510156</v>
      </c>
      <c r="H25" s="46"/>
      <c r="I25" s="49"/>
      <c r="J25" s="49"/>
      <c r="K25" s="49"/>
    </row>
    <row r="26" spans="1:21">
      <c r="A26">
        <v>17</v>
      </c>
      <c r="B26" s="49">
        <f t="shared" si="0"/>
        <v>11687.568674315198</v>
      </c>
      <c r="C26" s="49">
        <f t="shared" si="8"/>
        <v>267343.43495089916</v>
      </c>
      <c r="D26" s="49">
        <f t="shared" si="1"/>
        <v>14494.950241317731</v>
      </c>
      <c r="E26" s="49">
        <f t="shared" si="9"/>
        <v>177759.38661486062</v>
      </c>
      <c r="F26" s="49">
        <f t="shared" si="2"/>
        <v>26182.518915632929</v>
      </c>
      <c r="G26" s="46">
        <f t="shared" si="3"/>
        <v>0.55361175477517399</v>
      </c>
      <c r="H26" s="46"/>
      <c r="I26" s="71">
        <v>3.7499999999999999E-2</v>
      </c>
      <c r="J26" s="73">
        <v>109664.24081928929</v>
      </c>
      <c r="K26" s="49"/>
      <c r="L26" s="48"/>
      <c r="M26" s="48"/>
      <c r="N26" s="46"/>
    </row>
    <row r="27" spans="1:21">
      <c r="A27">
        <v>18</v>
      </c>
      <c r="B27" s="49">
        <f t="shared" si="0"/>
        <v>11040.542679770535</v>
      </c>
      <c r="C27" s="49">
        <f t="shared" si="8"/>
        <v>278383.97763066972</v>
      </c>
      <c r="D27" s="49">
        <f t="shared" si="1"/>
        <v>15141.976235862394</v>
      </c>
      <c r="E27" s="49">
        <f t="shared" si="9"/>
        <v>192901.362850723</v>
      </c>
      <c r="F27" s="49">
        <f t="shared" si="2"/>
        <v>26182.518915632929</v>
      </c>
      <c r="G27" s="46">
        <f t="shared" si="3"/>
        <v>0.57832389177885779</v>
      </c>
      <c r="H27" s="46"/>
      <c r="I27" s="71">
        <v>3.6249999999999998E-2</v>
      </c>
      <c r="J27" s="73">
        <v>105712.70260195762</v>
      </c>
      <c r="K27" s="49"/>
      <c r="L27" s="48"/>
      <c r="M27" s="48"/>
      <c r="N27" s="46"/>
      <c r="Q27" s="48"/>
      <c r="R27" s="48"/>
    </row>
    <row r="28" spans="1:21">
      <c r="A28">
        <v>19</v>
      </c>
      <c r="B28" s="49">
        <f t="shared" si="0"/>
        <v>10364.634720772952</v>
      </c>
      <c r="C28" s="49">
        <f t="shared" si="8"/>
        <v>288748.61235144269</v>
      </c>
      <c r="D28" s="49">
        <f t="shared" si="1"/>
        <v>15817.884194859977</v>
      </c>
      <c r="E28" s="49">
        <f t="shared" si="9"/>
        <v>208719.24704558298</v>
      </c>
      <c r="F28" s="49">
        <f t="shared" si="2"/>
        <v>26182.518915632929</v>
      </c>
      <c r="G28" s="46">
        <f t="shared" si="3"/>
        <v>0.60413912984573503</v>
      </c>
      <c r="H28" s="46"/>
      <c r="I28" s="47">
        <v>3.5000000000000003E-2</v>
      </c>
      <c r="J28" s="49">
        <v>101781.26506084696</v>
      </c>
      <c r="K28" s="49"/>
      <c r="L28" s="48"/>
      <c r="M28" s="48"/>
      <c r="N28" s="46"/>
      <c r="Q28" s="48"/>
      <c r="R28" s="48"/>
    </row>
    <row r="29" spans="1:21">
      <c r="A29">
        <v>20</v>
      </c>
      <c r="B29" s="49">
        <f t="shared" si="0"/>
        <v>9658.5555633848853</v>
      </c>
      <c r="C29" s="49">
        <f t="shared" si="8"/>
        <v>298407.16791482759</v>
      </c>
      <c r="D29" s="49">
        <f t="shared" si="1"/>
        <v>16523.963352248044</v>
      </c>
      <c r="E29" s="49">
        <f t="shared" si="9"/>
        <v>225243.21039783102</v>
      </c>
      <c r="F29" s="49">
        <f t="shared" si="2"/>
        <v>26182.518915632929</v>
      </c>
      <c r="G29" s="46">
        <f t="shared" si="3"/>
        <v>0.63110670923193712</v>
      </c>
      <c r="H29" s="46"/>
      <c r="I29" s="47">
        <v>3.4500000000000003E-2</v>
      </c>
      <c r="J29" s="49">
        <v>100214.32792286732</v>
      </c>
      <c r="K29" s="49"/>
      <c r="L29" s="48"/>
      <c r="M29" s="48"/>
      <c r="N29" s="46"/>
      <c r="Q29" s="48"/>
      <c r="R29" s="48"/>
    </row>
    <row r="30" spans="1:21">
      <c r="A30">
        <v>21</v>
      </c>
      <c r="B30" s="49">
        <f t="shared" si="0"/>
        <v>8920.9584248081592</v>
      </c>
      <c r="C30" s="49">
        <f t="shared" si="8"/>
        <v>307328.12633963575</v>
      </c>
      <c r="D30" s="49">
        <f t="shared" si="1"/>
        <v>17261.56049082477</v>
      </c>
      <c r="E30" s="49">
        <f t="shared" si="9"/>
        <v>242504.7708886558</v>
      </c>
      <c r="F30" s="49">
        <f t="shared" si="2"/>
        <v>26182.518915632929</v>
      </c>
      <c r="G30" s="46">
        <f t="shared" si="3"/>
        <v>0.65927806818152712</v>
      </c>
      <c r="H30" s="46"/>
      <c r="I30" s="47">
        <v>3.3500000000000002E-2</v>
      </c>
      <c r="J30" s="49">
        <v>97090.133444055347</v>
      </c>
      <c r="K30" s="49"/>
      <c r="L30" s="48"/>
      <c r="M30" s="48"/>
      <c r="N30" s="46"/>
      <c r="Q30" s="48"/>
      <c r="R30" s="48"/>
    </row>
    <row r="31" spans="1:21">
      <c r="A31">
        <v>22</v>
      </c>
      <c r="B31" s="49">
        <f t="shared" si="0"/>
        <v>8150.4364045163929</v>
      </c>
      <c r="C31" s="49">
        <f t="shared" si="8"/>
        <v>315478.56274415215</v>
      </c>
      <c r="D31" s="49">
        <f t="shared" si="1"/>
        <v>18032.082511116536</v>
      </c>
      <c r="E31" s="49">
        <f t="shared" si="9"/>
        <v>260536.85339977234</v>
      </c>
      <c r="F31" s="49">
        <f t="shared" si="2"/>
        <v>26182.518915632929</v>
      </c>
      <c r="G31" s="46">
        <f t="shared" si="3"/>
        <v>0.68870694104034536</v>
      </c>
      <c r="H31" s="46"/>
      <c r="I31" s="72"/>
      <c r="J31" s="49"/>
      <c r="K31" s="49"/>
      <c r="L31" s="48"/>
      <c r="M31" s="48"/>
      <c r="N31" s="46"/>
      <c r="Q31" s="48"/>
      <c r="R31" s="48"/>
    </row>
    <row r="32" spans="1:21">
      <c r="A32">
        <v>23</v>
      </c>
      <c r="B32" s="49">
        <f t="shared" si="0"/>
        <v>7345.5198007181025</v>
      </c>
      <c r="C32" s="49">
        <f t="shared" si="8"/>
        <v>322824.08254487027</v>
      </c>
      <c r="D32" s="49">
        <f t="shared" si="1"/>
        <v>18836.999114914826</v>
      </c>
      <c r="E32" s="49">
        <f t="shared" si="9"/>
        <v>279373.85251468717</v>
      </c>
      <c r="F32" s="49">
        <f t="shared" si="2"/>
        <v>26182.518915632929</v>
      </c>
      <c r="G32" s="46">
        <f t="shared" si="3"/>
        <v>0.71944946074946681</v>
      </c>
      <c r="H32" s="46"/>
      <c r="I32" s="49"/>
      <c r="J32" s="49"/>
      <c r="K32" s="49"/>
      <c r="L32" s="48"/>
      <c r="M32" s="48"/>
      <c r="N32" s="46"/>
      <c r="Q32" s="48"/>
      <c r="R32" s="48"/>
    </row>
    <row r="33" spans="1:18">
      <c r="A33">
        <v>24</v>
      </c>
      <c r="B33" s="49">
        <f t="shared" si="0"/>
        <v>6504.6733070321206</v>
      </c>
      <c r="C33" s="49">
        <f t="shared" si="8"/>
        <v>329328.75585190242</v>
      </c>
      <c r="D33" s="49">
        <f t="shared" si="1"/>
        <v>19677.845608600808</v>
      </c>
      <c r="E33" s="49">
        <f t="shared" si="9"/>
        <v>299051.69812328799</v>
      </c>
      <c r="F33" s="49">
        <f t="shared" si="2"/>
        <v>26182.518915632929</v>
      </c>
      <c r="G33" s="46">
        <f t="shared" si="3"/>
        <v>0.75156426591376035</v>
      </c>
      <c r="H33" s="46"/>
      <c r="I33" s="49"/>
      <c r="J33" s="49"/>
      <c r="K33" s="49"/>
      <c r="L33" s="48"/>
      <c r="M33" s="48"/>
      <c r="N33" s="46"/>
      <c r="Q33" s="48"/>
      <c r="R33" s="48"/>
    </row>
    <row r="34" spans="1:18">
      <c r="A34">
        <v>25</v>
      </c>
      <c r="B34" s="49">
        <f t="shared" si="0"/>
        <v>5626.2930840280678</v>
      </c>
      <c r="C34" s="49">
        <f t="shared" si="8"/>
        <v>334955.04893593048</v>
      </c>
      <c r="D34" s="49">
        <f t="shared" si="1"/>
        <v>20556.225831604861</v>
      </c>
      <c r="E34" s="49">
        <f t="shared" si="9"/>
        <v>319607.92395489285</v>
      </c>
      <c r="F34" s="49">
        <f t="shared" si="2"/>
        <v>26182.518915632929</v>
      </c>
      <c r="G34" s="46">
        <f t="shared" si="3"/>
        <v>0.78511261264978027</v>
      </c>
      <c r="H34" s="46"/>
      <c r="I34" s="49"/>
      <c r="J34" s="49"/>
      <c r="K34" s="49"/>
      <c r="L34" s="48"/>
      <c r="M34" s="48"/>
      <c r="N34" s="46"/>
      <c r="Q34" s="48"/>
      <c r="R34" s="48"/>
    </row>
    <row r="35" spans="1:18">
      <c r="A35">
        <v>26</v>
      </c>
      <c r="B35" s="49">
        <f t="shared" si="0"/>
        <v>4708.7037000461714</v>
      </c>
      <c r="C35" s="49">
        <f t="shared" si="8"/>
        <v>339663.75263597665</v>
      </c>
      <c r="D35" s="49">
        <f t="shared" si="1"/>
        <v>21473.815215586757</v>
      </c>
      <c r="E35" s="49">
        <f t="shared" si="9"/>
        <v>341081.73917047959</v>
      </c>
      <c r="F35" s="49">
        <f t="shared" si="2"/>
        <v>26182.518915632929</v>
      </c>
      <c r="G35" s="46">
        <f t="shared" si="3"/>
        <v>0.82015849142632635</v>
      </c>
      <c r="H35" s="46"/>
      <c r="I35" s="49"/>
      <c r="J35" s="49"/>
      <c r="K35" s="49"/>
      <c r="L35" s="48"/>
      <c r="M35" s="48"/>
      <c r="N35" s="46"/>
      <c r="Q35" s="48"/>
      <c r="R35" s="48"/>
    </row>
    <row r="36" spans="1:18">
      <c r="A36">
        <v>27</v>
      </c>
      <c r="B36" s="49">
        <f t="shared" si="0"/>
        <v>3750.1549354613671</v>
      </c>
      <c r="C36" s="49">
        <f t="shared" si="8"/>
        <v>343413.907571438</v>
      </c>
      <c r="D36" s="49">
        <f t="shared" si="1"/>
        <v>22432.363980171562</v>
      </c>
      <c r="E36" s="49">
        <f t="shared" si="9"/>
        <v>363514.10315065115</v>
      </c>
      <c r="F36" s="49">
        <f t="shared" si="2"/>
        <v>26182.518915632929</v>
      </c>
      <c r="G36" s="46">
        <f t="shared" si="3"/>
        <v>0.85676874912053469</v>
      </c>
      <c r="H36" s="46"/>
      <c r="I36" s="49"/>
      <c r="J36" s="49"/>
      <c r="K36" s="49"/>
      <c r="L36" s="48"/>
      <c r="M36" s="48"/>
      <c r="N36" s="46"/>
      <c r="Q36" s="48"/>
      <c r="R36" s="48"/>
    </row>
    <row r="37" spans="1:18">
      <c r="A37">
        <v>28</v>
      </c>
      <c r="B37" s="49">
        <f t="shared" si="0"/>
        <v>2748.8184442959428</v>
      </c>
      <c r="C37" s="49">
        <f t="shared" si="8"/>
        <v>346162.72601573396</v>
      </c>
      <c r="D37" s="49">
        <f t="shared" si="1"/>
        <v>23433.700471336986</v>
      </c>
      <c r="E37" s="49">
        <f t="shared" si="9"/>
        <v>386947.80362198816</v>
      </c>
      <c r="F37" s="49">
        <f t="shared" si="2"/>
        <v>26182.518915632929</v>
      </c>
      <c r="G37" s="46">
        <f t="shared" si="3"/>
        <v>0.89501321652231514</v>
      </c>
      <c r="H37" s="46"/>
      <c r="I37" s="49"/>
      <c r="J37" s="49"/>
      <c r="K37" s="49"/>
      <c r="L37" s="48"/>
      <c r="M37" s="48"/>
      <c r="N37" s="46"/>
      <c r="Q37" s="48"/>
      <c r="R37" s="48"/>
    </row>
    <row r="38" spans="1:18">
      <c r="A38">
        <v>29</v>
      </c>
      <c r="B38" s="49">
        <f t="shared" si="0"/>
        <v>1702.7842668133017</v>
      </c>
      <c r="C38" s="49">
        <f t="shared" si="8"/>
        <v>347865.51028254727</v>
      </c>
      <c r="D38" s="49">
        <f t="shared" si="1"/>
        <v>24479.734648819627</v>
      </c>
      <c r="E38" s="49">
        <f t="shared" si="9"/>
        <v>411427.53827080777</v>
      </c>
      <c r="F38" s="49">
        <f t="shared" si="2"/>
        <v>26182.518915632929</v>
      </c>
      <c r="G38" s="46">
        <f t="shared" si="3"/>
        <v>0.93496484153033066</v>
      </c>
      <c r="H38" s="46"/>
      <c r="I38" s="49"/>
      <c r="J38" s="49"/>
      <c r="K38" s="49"/>
      <c r="L38" s="48"/>
      <c r="M38" s="48"/>
      <c r="N38" s="46"/>
      <c r="Q38" s="48"/>
      <c r="R38" s="48"/>
    </row>
    <row r="39" spans="1:18">
      <c r="A39">
        <v>30</v>
      </c>
      <c r="B39" s="49">
        <f t="shared" si="0"/>
        <v>610.05718644064109</v>
      </c>
      <c r="C39" s="49">
        <f t="shared" si="8"/>
        <v>348475.56746898789</v>
      </c>
      <c r="D39" s="49">
        <f t="shared" si="1"/>
        <v>25572.461729192288</v>
      </c>
      <c r="E39" s="49">
        <f t="shared" si="9"/>
        <v>437000.00000000006</v>
      </c>
      <c r="F39" s="49">
        <f t="shared" si="2"/>
        <v>26182.518915632929</v>
      </c>
      <c r="G39" s="46">
        <f t="shared" si="3"/>
        <v>0.97669982829358748</v>
      </c>
      <c r="H39" s="46"/>
      <c r="I39" s="49"/>
      <c r="J39" s="49"/>
      <c r="K39" s="49"/>
      <c r="L39" s="48"/>
      <c r="M39" s="48"/>
      <c r="N39" s="46"/>
      <c r="Q39" s="48"/>
      <c r="R39" s="48"/>
    </row>
    <row r="40" spans="1:18">
      <c r="J40" s="49"/>
      <c r="L40" s="48"/>
      <c r="M40" s="48"/>
      <c r="N40" s="46"/>
      <c r="Q40" s="48"/>
      <c r="R40" s="48"/>
    </row>
    <row r="41" spans="1:18">
      <c r="J41" s="49"/>
      <c r="L41" s="48"/>
      <c r="M41" s="48"/>
      <c r="Q41" s="48"/>
      <c r="R41" s="48"/>
    </row>
    <row r="42" spans="1:18">
      <c r="J42" s="49"/>
      <c r="L42" s="48"/>
      <c r="M42" s="48"/>
    </row>
    <row r="43" spans="1:18">
      <c r="J43" s="49"/>
      <c r="L43" s="48"/>
      <c r="M43" s="48"/>
    </row>
    <row r="44" spans="1:18">
      <c r="L44" s="48"/>
      <c r="M44" s="48"/>
    </row>
    <row r="60" spans="2:3">
      <c r="B60">
        <f>1</f>
        <v>1</v>
      </c>
      <c r="C60">
        <v>12</v>
      </c>
    </row>
    <row r="61" spans="2:3">
      <c r="B61">
        <f>B60+12</f>
        <v>13</v>
      </c>
      <c r="C61">
        <f>C60+12</f>
        <v>24</v>
      </c>
    </row>
    <row r="62" spans="2:3">
      <c r="B62">
        <f t="shared" ref="B62:B89" si="12">B61+12</f>
        <v>25</v>
      </c>
      <c r="C62">
        <f t="shared" ref="C62:C89" si="13">C61+12</f>
        <v>36</v>
      </c>
    </row>
    <row r="63" spans="2:3">
      <c r="B63">
        <f t="shared" si="12"/>
        <v>37</v>
      </c>
      <c r="C63">
        <f t="shared" si="13"/>
        <v>48</v>
      </c>
    </row>
    <row r="64" spans="2:3">
      <c r="B64">
        <f t="shared" si="12"/>
        <v>49</v>
      </c>
      <c r="C64">
        <f t="shared" si="13"/>
        <v>60</v>
      </c>
    </row>
    <row r="65" spans="2:3">
      <c r="B65">
        <f t="shared" si="12"/>
        <v>61</v>
      </c>
      <c r="C65">
        <f t="shared" si="13"/>
        <v>72</v>
      </c>
    </row>
    <row r="66" spans="2:3">
      <c r="B66">
        <f t="shared" si="12"/>
        <v>73</v>
      </c>
      <c r="C66">
        <f t="shared" si="13"/>
        <v>84</v>
      </c>
    </row>
    <row r="67" spans="2:3">
      <c r="B67">
        <f t="shared" si="12"/>
        <v>85</v>
      </c>
      <c r="C67">
        <f t="shared" si="13"/>
        <v>96</v>
      </c>
    </row>
    <row r="68" spans="2:3">
      <c r="B68">
        <f t="shared" si="12"/>
        <v>97</v>
      </c>
      <c r="C68">
        <f t="shared" si="13"/>
        <v>108</v>
      </c>
    </row>
    <row r="69" spans="2:3">
      <c r="B69">
        <f t="shared" si="12"/>
        <v>109</v>
      </c>
      <c r="C69">
        <f t="shared" si="13"/>
        <v>120</v>
      </c>
    </row>
    <row r="70" spans="2:3">
      <c r="B70">
        <f t="shared" si="12"/>
        <v>121</v>
      </c>
      <c r="C70">
        <f t="shared" si="13"/>
        <v>132</v>
      </c>
    </row>
    <row r="71" spans="2:3">
      <c r="B71">
        <f t="shared" si="12"/>
        <v>133</v>
      </c>
      <c r="C71">
        <f t="shared" si="13"/>
        <v>144</v>
      </c>
    </row>
    <row r="72" spans="2:3">
      <c r="B72">
        <f t="shared" si="12"/>
        <v>145</v>
      </c>
      <c r="C72">
        <f t="shared" si="13"/>
        <v>156</v>
      </c>
    </row>
    <row r="73" spans="2:3">
      <c r="B73">
        <f t="shared" si="12"/>
        <v>157</v>
      </c>
      <c r="C73">
        <f t="shared" si="13"/>
        <v>168</v>
      </c>
    </row>
    <row r="74" spans="2:3">
      <c r="B74">
        <f t="shared" si="12"/>
        <v>169</v>
      </c>
      <c r="C74">
        <f t="shared" si="13"/>
        <v>180</v>
      </c>
    </row>
    <row r="75" spans="2:3">
      <c r="B75">
        <f t="shared" si="12"/>
        <v>181</v>
      </c>
      <c r="C75">
        <f t="shared" si="13"/>
        <v>192</v>
      </c>
    </row>
    <row r="76" spans="2:3">
      <c r="B76">
        <f t="shared" si="12"/>
        <v>193</v>
      </c>
      <c r="C76">
        <f t="shared" si="13"/>
        <v>204</v>
      </c>
    </row>
    <row r="77" spans="2:3">
      <c r="B77">
        <f t="shared" si="12"/>
        <v>205</v>
      </c>
      <c r="C77">
        <f t="shared" si="13"/>
        <v>216</v>
      </c>
    </row>
    <row r="78" spans="2:3">
      <c r="B78">
        <f t="shared" si="12"/>
        <v>217</v>
      </c>
      <c r="C78">
        <f t="shared" si="13"/>
        <v>228</v>
      </c>
    </row>
    <row r="79" spans="2:3">
      <c r="B79">
        <f t="shared" si="12"/>
        <v>229</v>
      </c>
      <c r="C79">
        <f t="shared" si="13"/>
        <v>240</v>
      </c>
    </row>
    <row r="80" spans="2:3">
      <c r="B80">
        <f t="shared" si="12"/>
        <v>241</v>
      </c>
      <c r="C80">
        <f t="shared" si="13"/>
        <v>252</v>
      </c>
    </row>
    <row r="81" spans="2:3">
      <c r="B81">
        <f t="shared" si="12"/>
        <v>253</v>
      </c>
      <c r="C81">
        <f t="shared" si="13"/>
        <v>264</v>
      </c>
    </row>
    <row r="82" spans="2:3">
      <c r="B82">
        <f t="shared" si="12"/>
        <v>265</v>
      </c>
      <c r="C82">
        <f t="shared" si="13"/>
        <v>276</v>
      </c>
    </row>
    <row r="83" spans="2:3">
      <c r="B83">
        <f t="shared" si="12"/>
        <v>277</v>
      </c>
      <c r="C83">
        <f t="shared" si="13"/>
        <v>288</v>
      </c>
    </row>
    <row r="84" spans="2:3">
      <c r="B84">
        <f t="shared" si="12"/>
        <v>289</v>
      </c>
      <c r="C84">
        <f t="shared" si="13"/>
        <v>300</v>
      </c>
    </row>
    <row r="85" spans="2:3">
      <c r="B85">
        <f t="shared" si="12"/>
        <v>301</v>
      </c>
      <c r="C85">
        <f t="shared" si="13"/>
        <v>312</v>
      </c>
    </row>
    <row r="86" spans="2:3">
      <c r="B86">
        <f t="shared" si="12"/>
        <v>313</v>
      </c>
      <c r="C86">
        <f t="shared" si="13"/>
        <v>324</v>
      </c>
    </row>
    <row r="87" spans="2:3">
      <c r="B87">
        <f t="shared" si="12"/>
        <v>325</v>
      </c>
      <c r="C87">
        <f t="shared" si="13"/>
        <v>336</v>
      </c>
    </row>
    <row r="88" spans="2:3">
      <c r="B88">
        <f t="shared" si="12"/>
        <v>337</v>
      </c>
      <c r="C88">
        <f t="shared" si="13"/>
        <v>348</v>
      </c>
    </row>
    <row r="89" spans="2:3">
      <c r="B89">
        <f t="shared" si="12"/>
        <v>349</v>
      </c>
      <c r="C89">
        <f t="shared" si="13"/>
        <v>360</v>
      </c>
    </row>
  </sheetData>
  <conditionalFormatting sqref="A2:A5">
    <cfRule type="expression" dxfId="0" priority="2" stopIfTrue="1">
      <formula>IF(A2&lt;0, TRUE, FALSE)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8"/>
  <sheetViews>
    <sheetView topLeftCell="A37" workbookViewId="0">
      <selection activeCell="H59" sqref="H59"/>
    </sheetView>
  </sheetViews>
  <sheetFormatPr defaultRowHeight="15"/>
  <sheetData>
    <row r="2" spans="2:19">
      <c r="L2" t="s">
        <v>111</v>
      </c>
    </row>
    <row r="3" spans="2:19">
      <c r="B3" s="74" t="s">
        <v>55</v>
      </c>
      <c r="L3" s="77" t="s">
        <v>110</v>
      </c>
    </row>
    <row r="4" spans="2:19">
      <c r="L4" s="75"/>
    </row>
    <row r="5" spans="2:19">
      <c r="B5" s="75" t="s">
        <v>56</v>
      </c>
      <c r="L5" t="s">
        <v>114</v>
      </c>
    </row>
    <row r="6" spans="2:19">
      <c r="L6" s="77" t="s">
        <v>112</v>
      </c>
    </row>
    <row r="7" spans="2:19">
      <c r="B7" s="75" t="s">
        <v>57</v>
      </c>
      <c r="L7" s="77" t="s">
        <v>113</v>
      </c>
    </row>
    <row r="9" spans="2:19">
      <c r="B9" s="75" t="s">
        <v>58</v>
      </c>
    </row>
    <row r="11" spans="2:19">
      <c r="B11" s="75" t="s">
        <v>59</v>
      </c>
      <c r="L11" s="81" t="s">
        <v>121</v>
      </c>
      <c r="M11" s="82"/>
      <c r="N11" s="82"/>
      <c r="O11" s="82"/>
      <c r="P11" s="82"/>
      <c r="Q11" s="83"/>
      <c r="R11" s="82"/>
      <c r="S11" s="83"/>
    </row>
    <row r="12" spans="2:19">
      <c r="L12" s="84" t="s">
        <v>122</v>
      </c>
      <c r="M12" s="5"/>
      <c r="N12" s="5"/>
      <c r="O12" s="5"/>
      <c r="P12" s="5"/>
      <c r="Q12" s="85"/>
      <c r="R12" s="5"/>
      <c r="S12" s="85"/>
    </row>
    <row r="13" spans="2:19">
      <c r="B13" s="75" t="s">
        <v>60</v>
      </c>
      <c r="L13" s="84" t="s">
        <v>127</v>
      </c>
      <c r="M13" s="5"/>
      <c r="N13" s="5"/>
      <c r="O13" s="5"/>
      <c r="P13" s="5"/>
      <c r="Q13" s="85"/>
      <c r="R13" s="5"/>
      <c r="S13" s="85"/>
    </row>
    <row r="14" spans="2:19">
      <c r="L14" s="84"/>
      <c r="M14" s="5"/>
      <c r="N14" s="5"/>
      <c r="O14" s="5"/>
      <c r="P14" s="5"/>
      <c r="Q14" s="85"/>
      <c r="R14" s="5"/>
      <c r="S14" s="85"/>
    </row>
    <row r="15" spans="2:19">
      <c r="B15" s="74" t="s">
        <v>61</v>
      </c>
      <c r="L15" s="86" t="s">
        <v>123</v>
      </c>
      <c r="M15" s="5"/>
      <c r="N15" s="5"/>
      <c r="O15" s="5"/>
      <c r="P15" s="5"/>
      <c r="Q15" s="85"/>
      <c r="R15" s="5"/>
      <c r="S15" s="85"/>
    </row>
    <row r="16" spans="2:19">
      <c r="L16" s="80" t="s">
        <v>126</v>
      </c>
      <c r="M16" s="5"/>
      <c r="N16" s="5"/>
      <c r="O16" s="5"/>
      <c r="P16" s="5"/>
      <c r="Q16" s="85"/>
      <c r="R16" s="5"/>
      <c r="S16" s="85"/>
    </row>
    <row r="17" spans="2:19">
      <c r="B17" s="75" t="s">
        <v>62</v>
      </c>
      <c r="L17" s="86" t="s">
        <v>124</v>
      </c>
      <c r="M17" s="88"/>
      <c r="N17" s="88"/>
      <c r="O17" s="88"/>
      <c r="P17" s="88"/>
      <c r="Q17" s="89"/>
      <c r="R17" s="5"/>
      <c r="S17" s="85"/>
    </row>
    <row r="18" spans="2:19">
      <c r="L18" s="84" t="s">
        <v>125</v>
      </c>
      <c r="M18" s="5"/>
      <c r="N18" s="5"/>
      <c r="O18" s="5"/>
      <c r="P18" s="5"/>
      <c r="Q18" s="5"/>
      <c r="R18" s="5"/>
      <c r="S18" s="85"/>
    </row>
    <row r="19" spans="2:19">
      <c r="B19" s="75" t="s">
        <v>63</v>
      </c>
      <c r="L19" s="87"/>
      <c r="M19" s="88"/>
      <c r="N19" s="88"/>
      <c r="O19" s="88"/>
      <c r="P19" s="88"/>
      <c r="Q19" s="88"/>
      <c r="R19" s="88"/>
      <c r="S19" s="89"/>
    </row>
    <row r="21" spans="2:19">
      <c r="B21" s="75" t="s">
        <v>64</v>
      </c>
    </row>
    <row r="22" spans="2:19">
      <c r="L22" s="90" t="s">
        <v>128</v>
      </c>
    </row>
    <row r="23" spans="2:19">
      <c r="B23" s="75" t="s">
        <v>65</v>
      </c>
    </row>
    <row r="24" spans="2:19">
      <c r="L24" s="90" t="s">
        <v>129</v>
      </c>
    </row>
    <row r="25" spans="2:19">
      <c r="B25" s="75" t="s">
        <v>66</v>
      </c>
    </row>
    <row r="26" spans="2:19">
      <c r="K26" t="s">
        <v>131</v>
      </c>
      <c r="L26" s="90" t="s">
        <v>130</v>
      </c>
    </row>
    <row r="27" spans="2:19">
      <c r="B27" s="75" t="s">
        <v>67</v>
      </c>
      <c r="L27" s="90" t="s">
        <v>132</v>
      </c>
    </row>
    <row r="28" spans="2:19">
      <c r="L28" t="s">
        <v>133</v>
      </c>
    </row>
    <row r="29" spans="2:19">
      <c r="B29" s="75" t="s">
        <v>68</v>
      </c>
    </row>
    <row r="30" spans="2:19">
      <c r="L30" s="77" t="s">
        <v>134</v>
      </c>
    </row>
    <row r="31" spans="2:19">
      <c r="B31" s="75" t="s">
        <v>69</v>
      </c>
      <c r="L31" s="77" t="s">
        <v>135</v>
      </c>
    </row>
    <row r="32" spans="2:19">
      <c r="L32" s="77" t="s">
        <v>136</v>
      </c>
    </row>
    <row r="33" spans="2:12">
      <c r="B33" s="75" t="s">
        <v>70</v>
      </c>
    </row>
    <row r="34" spans="2:12">
      <c r="K34" t="s">
        <v>140</v>
      </c>
      <c r="L34" s="77" t="s">
        <v>137</v>
      </c>
    </row>
    <row r="35" spans="2:12">
      <c r="B35" s="75" t="s">
        <v>71</v>
      </c>
      <c r="L35" s="77" t="s">
        <v>138</v>
      </c>
    </row>
    <row r="36" spans="2:12">
      <c r="L36" s="77" t="s">
        <v>139</v>
      </c>
    </row>
    <row r="37" spans="2:12">
      <c r="B37" s="75" t="s">
        <v>72</v>
      </c>
      <c r="L37" s="77" t="s">
        <v>141</v>
      </c>
    </row>
    <row r="39" spans="2:12">
      <c r="B39" s="75" t="s">
        <v>73</v>
      </c>
    </row>
    <row r="41" spans="2:12">
      <c r="B41" s="75" t="s">
        <v>74</v>
      </c>
    </row>
    <row r="43" spans="2:12">
      <c r="B43" s="75" t="s">
        <v>75</v>
      </c>
    </row>
    <row r="45" spans="2:12">
      <c r="B45" s="75" t="s">
        <v>76</v>
      </c>
    </row>
    <row r="47" spans="2:12">
      <c r="B47" s="74" t="s">
        <v>77</v>
      </c>
    </row>
    <row r="49" spans="2:2">
      <c r="B49" s="74" t="s">
        <v>78</v>
      </c>
    </row>
    <row r="51" spans="2:2">
      <c r="B51" s="74" t="s">
        <v>79</v>
      </c>
    </row>
    <row r="55" spans="2:2">
      <c r="B55" s="91" t="s">
        <v>142</v>
      </c>
    </row>
    <row r="56" spans="2:2">
      <c r="B56" s="91" t="s">
        <v>143</v>
      </c>
    </row>
    <row r="57" spans="2:2">
      <c r="B57" s="91" t="s">
        <v>144</v>
      </c>
    </row>
    <row r="58" spans="2:2">
      <c r="B58" s="91" t="s">
        <v>145</v>
      </c>
    </row>
    <row r="59" spans="2:2">
      <c r="B59" s="91" t="s">
        <v>146</v>
      </c>
    </row>
    <row r="60" spans="2:2">
      <c r="B60" s="91" t="s">
        <v>147</v>
      </c>
    </row>
    <row r="61" spans="2:2">
      <c r="B61" s="91" t="s">
        <v>148</v>
      </c>
    </row>
    <row r="62" spans="2:2">
      <c r="B62" s="91" t="s">
        <v>149</v>
      </c>
    </row>
    <row r="63" spans="2:2">
      <c r="B63" s="91" t="s">
        <v>150</v>
      </c>
    </row>
    <row r="64" spans="2:2">
      <c r="B64" s="91" t="s">
        <v>151</v>
      </c>
    </row>
    <row r="65" spans="2:2">
      <c r="B65" s="91" t="s">
        <v>152</v>
      </c>
    </row>
    <row r="66" spans="2:2">
      <c r="B66" s="91" t="s">
        <v>153</v>
      </c>
    </row>
    <row r="67" spans="2:2">
      <c r="B67" s="91" t="s">
        <v>154</v>
      </c>
    </row>
    <row r="68" spans="2:2">
      <c r="B68" s="91" t="s">
        <v>155</v>
      </c>
    </row>
  </sheetData>
  <hyperlinks>
    <hyperlink ref="B5" r:id="rId1" display="http://www.homedepot.com/p/MS-International-Metro-Charcoal-12-in-x-24-in-Glazed-Porcelain-Floor-and-Wall-Tile-16-sq-ft-case-NMETCHA1224/203673203"/>
    <hyperlink ref="B7" r:id="rId2" display="http://www.homedepot.com/p/Delta-Foundations-Single-Handle-Kitchen-Faucet-in-Chrome-B1310LF/203124956?storeId=10051&amp;langId=-1&amp;catalogId=10053"/>
    <hyperlink ref="B9" r:id="rId3" display="http://www.homedepot.com/p/Glacier-Bay-24-5-in-Vanity-in-Oak-with-Cultured-Marble-Vanity-Top-in-White-GB24P2-O/205649117?storeId=10051&amp;langId=-1&amp;catalogId=10053"/>
    <hyperlink ref="B11" r:id="rId4" display="http://www.homedepot.com/p/Peerless-Core-4-in-Centerset-Single-Handle-Bathroom-Faucet-in-Chrome-P131LF/203916741?storeId=10051&amp;langId=-1&amp;catalogId=10053"/>
    <hyperlink ref="B13" r:id="rId5" display="http://www.homedepot.com/p/Glacier-Bay-Shaila-24-1-2-in-Vanity-in-Silverleaf-with-Cultured-Marble-Vanity-Top-in-White-and-Mirror-PPSOFSVL24M/205166935?storeId=10051&amp;langId=-1&amp;catalogId=10053"/>
    <hyperlink ref="B17" r:id="rId6" display="http://www.homedepot.com/p/MS-International-Arctic-Storm-12-in-x-12-in-x-10-mm-Honed-Marble-Mesh-Mounted-Mosaic-Floor-and-Wall-Tile-AS-10MM/203447805"/>
    <hyperlink ref="B19" r:id="rId7" display="http://www.homedepot.com/p/TrafficMASTER-Portland-Stone-Gray-18-in-x-18-in-Glazed-Ceramic-Floor-and-Wall-Tile-17-44-sq-ft-case-ULMK/204834499"/>
    <hyperlink ref="B21" r:id="rId8" display="http://www.homedepot.com/p/Hampton-Bay-1-Light-86-in-Brushed-Nickel-Pendant-Track-Lighting-Fixture-17100/202193765?storeId=10051&amp;langId=-1&amp;catalogId=10053"/>
    <hyperlink ref="B23" r:id="rId9" display="http://www.homedepot.com/p/Elkay-Neptune-Drop-in-Stainless-Steel-25-in-4-Hole-Single-Bowl-Kitchen-Sink-HD114559/100660331?storeId=10051&amp;langId=-1&amp;catalogId=10053"/>
    <hyperlink ref="B25" r:id="rId10" display="http://www.homedepot.com/p/Commercial-Electric-2-Light-Brushed-Nickel-Flushmount-2-Pack-EFG8012A-BN/202064742?storeId=10051&amp;langId=-1&amp;catalogId=10053"/>
    <hyperlink ref="B27" r:id="rId11" display="http://www.homedepot.com/p/Leviton-500-Watt-60-Minute-In-Wall-Digital-Timer-R62-6161T-1LW/202051145?storeId=10051&amp;langId=-1&amp;catalogId=10053"/>
    <hyperlink ref="B29" r:id="rId12" display="http://www.homedepot.com/p/Zenith-16-in-W-x-20-in-H-x-4-in-D-Recessed-Frameless-Mirrored-Medicine-Cabinet-in-Mirrored-Glass-MP109HD/203833771?storeId=10051&amp;langId=-1&amp;catalogId=10053"/>
    <hyperlink ref="B31" r:id="rId13" display="http://www.homedepot.com/p/Honeywell-7-Day-Programmable-Thermostat-RTH221B/203539508?storeId=10051&amp;langId=-1&amp;catalogId=10053"/>
    <hyperlink ref="B33" r:id="rId14" display="http://www.homedepot.com/p/Bootz-Industries-Aloha-5-ft-Right-Hand-Drain-Soaking-Tub-in-White-011-2364-00/100389008"/>
    <hyperlink ref="B35" r:id="rId15" display="http://www.amazon.com/dp/B00004U9JO/ref=wl_it_dp_o_pC_nS_ttl?_encoding=UTF8&amp;colid=14GC3RSSFHR5N&amp;coliid=IZ5UOEG8SDR30"/>
    <hyperlink ref="B37" r:id="rId16" display="http://www.amazon.com/dp/B006HZ2NNE/ref=wl_it_dp_o_pC_nS_ttl?_encoding=UTF8&amp;colid=14GC3RSSFHR5N&amp;coliid=I1B729UXC16WYN&amp;psc=1"/>
    <hyperlink ref="B39" r:id="rId17" display="http://www.amazon.com/dp/B00GMR51XG/ref=wl_it_dp_o_pC_nS_ttl?_encoding=UTF8&amp;colid=14GC3RSSFHR5N&amp;coliid=I2WJE73VZ7EXN9"/>
    <hyperlink ref="B41" r:id="rId18" display="http://www.amazon.com/dp/B001AI1VMW/ref=wl_it_dp_o_pd_nS_ttl?_encoding=UTF8&amp;colid=14GC3RSSFHR5N&amp;coliid=I3LNB68XQ5YRMC&amp;psc=1"/>
    <hyperlink ref="B43" r:id="rId19" display="http://www.amazon.com/dp/B001AHZRQO/ref=wl_it_dp_o_pC_S_ttl?_encoding=UTF8&amp;colid=14GC3RSSFHR5N&amp;coliid=I38BFAMXWPT46K&amp;psc=1"/>
    <hyperlink ref="B45" r:id="rId20" display="http://www.amazon.com/dp/B00EAD6PNE/ref=wl_it_dp_o_pd_nS_ttl?_encoding=UTF8&amp;colid=14GC3RSSFHR5N&amp;coliid=IOR3ZA4GDJ9GT&amp;psc=1"/>
  </hyperlinks>
  <pageMargins left="0.7" right="0.7" top="0.75" bottom="0.75" header="0.3" footer="0.3"/>
  <pageSetup orientation="portrait"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workbookViewId="0">
      <selection activeCell="A26" sqref="A26"/>
    </sheetView>
  </sheetViews>
  <sheetFormatPr defaultRowHeight="15"/>
  <cols>
    <col min="1" max="1" width="10.5703125" bestFit="1" customWidth="1"/>
    <col min="2" max="2" width="18.28515625" customWidth="1"/>
    <col min="3" max="3" width="11.140625" bestFit="1" customWidth="1"/>
  </cols>
  <sheetData>
    <row r="2" spans="1:6">
      <c r="A2" t="s">
        <v>85</v>
      </c>
      <c r="C2" s="76">
        <v>42129</v>
      </c>
    </row>
    <row r="3" spans="1:6">
      <c r="A3" t="s">
        <v>80</v>
      </c>
      <c r="C3" s="79">
        <v>540000</v>
      </c>
    </row>
    <row r="4" spans="1:6">
      <c r="A4" t="s">
        <v>81</v>
      </c>
      <c r="C4" s="79">
        <v>1300</v>
      </c>
    </row>
    <row r="5" spans="1:6">
      <c r="A5" t="s">
        <v>82</v>
      </c>
      <c r="C5" s="79">
        <v>579</v>
      </c>
    </row>
    <row r="6" spans="1:6">
      <c r="A6" t="s">
        <v>83</v>
      </c>
      <c r="C6" s="79">
        <v>300</v>
      </c>
    </row>
    <row r="7" spans="1:6">
      <c r="A7" t="s">
        <v>116</v>
      </c>
      <c r="C7" s="79">
        <f>SUM(C3:C6)</f>
        <v>542179</v>
      </c>
    </row>
    <row r="8" spans="1:6">
      <c r="A8" t="s">
        <v>115</v>
      </c>
      <c r="C8" s="79">
        <v>-2500</v>
      </c>
    </row>
    <row r="9" spans="1:6">
      <c r="A9" t="s">
        <v>84</v>
      </c>
      <c r="C9" s="79">
        <f>C7+C8</f>
        <v>539679</v>
      </c>
    </row>
    <row r="11" spans="1:6">
      <c r="A11" t="s">
        <v>51</v>
      </c>
      <c r="B11" t="s">
        <v>86</v>
      </c>
    </row>
    <row r="12" spans="1:6">
      <c r="A12">
        <v>2015</v>
      </c>
    </row>
    <row r="13" spans="1:6">
      <c r="A13" t="s">
        <v>90</v>
      </c>
      <c r="B13" t="s">
        <v>87</v>
      </c>
      <c r="C13" t="s">
        <v>88</v>
      </c>
      <c r="D13" t="s">
        <v>89</v>
      </c>
      <c r="E13" t="s">
        <v>95</v>
      </c>
      <c r="F13" t="s">
        <v>102</v>
      </c>
    </row>
    <row r="14" spans="1:6">
      <c r="A14" s="76">
        <v>42149</v>
      </c>
      <c r="B14" t="s">
        <v>91</v>
      </c>
      <c r="C14">
        <v>175</v>
      </c>
      <c r="D14" t="s">
        <v>92</v>
      </c>
    </row>
    <row r="15" spans="1:6">
      <c r="A15" s="76">
        <v>42170</v>
      </c>
      <c r="B15" t="s">
        <v>93</v>
      </c>
      <c r="C15">
        <v>150</v>
      </c>
      <c r="D15" t="s">
        <v>94</v>
      </c>
      <c r="E15">
        <v>492</v>
      </c>
      <c r="F15" t="s">
        <v>103</v>
      </c>
    </row>
    <row r="16" spans="1:6">
      <c r="A16" s="76">
        <v>42247</v>
      </c>
      <c r="B16" t="s">
        <v>108</v>
      </c>
      <c r="C16">
        <v>435.47</v>
      </c>
      <c r="D16" t="s">
        <v>98</v>
      </c>
      <c r="F16" t="s">
        <v>109</v>
      </c>
    </row>
    <row r="17" spans="1:6">
      <c r="A17" s="76">
        <v>42252</v>
      </c>
      <c r="B17" t="s">
        <v>97</v>
      </c>
      <c r="C17">
        <f>170.5+10.67+72.33</f>
        <v>253.5</v>
      </c>
      <c r="D17" t="s">
        <v>98</v>
      </c>
      <c r="F17" t="s">
        <v>104</v>
      </c>
    </row>
    <row r="18" spans="1:6">
      <c r="A18" s="76">
        <v>42260</v>
      </c>
      <c r="B18" t="s">
        <v>99</v>
      </c>
      <c r="C18">
        <f>54.42+208.57+316.39</f>
        <v>579.38</v>
      </c>
      <c r="D18" t="s">
        <v>98</v>
      </c>
      <c r="F18" t="s">
        <v>104</v>
      </c>
    </row>
    <row r="19" spans="1:6">
      <c r="A19" s="76">
        <v>42272</v>
      </c>
      <c r="B19" t="s">
        <v>96</v>
      </c>
      <c r="C19">
        <v>1050</v>
      </c>
      <c r="D19" t="s">
        <v>92</v>
      </c>
      <c r="F19" t="s">
        <v>105</v>
      </c>
    </row>
    <row r="20" spans="1:6">
      <c r="A20" s="76">
        <v>42255</v>
      </c>
      <c r="B20" t="s">
        <v>100</v>
      </c>
      <c r="C20">
        <v>80</v>
      </c>
      <c r="D20" t="s">
        <v>101</v>
      </c>
      <c r="F20" t="s">
        <v>106</v>
      </c>
    </row>
    <row r="21" spans="1:6">
      <c r="A21" s="76">
        <v>42301</v>
      </c>
      <c r="B21" t="s">
        <v>107</v>
      </c>
      <c r="C21">
        <v>1000</v>
      </c>
      <c r="D21" t="s">
        <v>101</v>
      </c>
      <c r="E21">
        <v>503</v>
      </c>
      <c r="F21" t="s">
        <v>106</v>
      </c>
    </row>
    <row r="22" spans="1:6">
      <c r="A22" s="76"/>
      <c r="B22" t="s">
        <v>84</v>
      </c>
      <c r="C22">
        <f>SUM(C14:C21)</f>
        <v>3723.35</v>
      </c>
    </row>
    <row r="24" spans="1:6">
      <c r="A24" s="78">
        <v>2016</v>
      </c>
    </row>
    <row r="25" spans="1:6">
      <c r="A25" s="76">
        <v>42371</v>
      </c>
      <c r="B25" t="s">
        <v>120</v>
      </c>
      <c r="C25">
        <v>435</v>
      </c>
      <c r="D25" t="s">
        <v>101</v>
      </c>
      <c r="E25">
        <v>510</v>
      </c>
      <c r="F25" t="s">
        <v>103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M9" sqref="M9"/>
    </sheetView>
  </sheetViews>
  <sheetFormatPr defaultRowHeight="15"/>
  <sheetData>
    <row r="2" spans="1:1">
      <c r="A2" t="s">
        <v>117</v>
      </c>
    </row>
    <row r="4" spans="1:1">
      <c r="A4" s="77" t="s">
        <v>118</v>
      </c>
    </row>
    <row r="6" spans="1:1">
      <c r="A6" s="77" t="s">
        <v>119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Rent_Calc</vt:lpstr>
      <vt:lpstr>15 Vs. 30</vt:lpstr>
      <vt:lpstr>possible things for house</vt:lpstr>
      <vt:lpstr>Cost</vt:lpstr>
      <vt:lpstr>tenant Background check</vt:lpstr>
      <vt:lpstr>Rent_Calc!Print_Area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2012-10-30T17:03:39Z</dcterms:created>
  <dcterms:modified xsi:type="dcterms:W3CDTF">2019-06-30T00:14:29Z</dcterms:modified>
</cp:coreProperties>
</file>